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21년 국토조사\21년 사업계획\발주2\발주\"/>
    </mc:Choice>
  </mc:AlternateContent>
  <bookViews>
    <workbookView xWindow="0" yWindow="0" windowWidth="28800" windowHeight="12540" firstSheet="3" activeTab="3"/>
  </bookViews>
  <sheets>
    <sheet name="표지" sheetId="1" r:id="rId1"/>
    <sheet name="설계갑지" sheetId="13" r:id="rId2"/>
    <sheet name="총괄표" sheetId="2" r:id="rId3"/>
    <sheet name="연구부분 예산설계서" sheetId="3" r:id="rId4"/>
    <sheet name="연구부분 산출근거 및 단가" sheetId="4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5" i="4" l="1"/>
  <c r="H54" i="4"/>
  <c r="H51" i="4"/>
  <c r="H50" i="4"/>
  <c r="H47" i="4"/>
  <c r="H46" i="4"/>
  <c r="H39" i="4"/>
  <c r="H38" i="4"/>
  <c r="H37" i="4"/>
  <c r="H36" i="4" s="1"/>
  <c r="G29" i="4"/>
  <c r="G28" i="4"/>
  <c r="G27" i="4"/>
  <c r="G30" i="4" s="1"/>
  <c r="H48" i="4" l="1"/>
  <c r="H45" i="4" s="1"/>
  <c r="H52" i="4"/>
  <c r="H49" i="4" s="1"/>
  <c r="H56" i="4"/>
  <c r="H53" i="4" s="1"/>
  <c r="E8" i="2"/>
  <c r="M8" i="3"/>
  <c r="H57" i="4" l="1"/>
  <c r="G48" i="3"/>
  <c r="G47" i="3"/>
  <c r="G46" i="3"/>
  <c r="G44" i="3"/>
  <c r="I44" i="3" s="1"/>
  <c r="G43" i="3"/>
  <c r="G42" i="3"/>
  <c r="G39" i="3"/>
  <c r="G38" i="3"/>
  <c r="I38" i="3" s="1"/>
  <c r="G37" i="3"/>
  <c r="I37" i="3" s="1"/>
  <c r="G35" i="3"/>
  <c r="G34" i="3"/>
  <c r="G33" i="3"/>
  <c r="G31" i="3"/>
  <c r="G30" i="3"/>
  <c r="G29" i="3"/>
  <c r="I29" i="3" s="1"/>
  <c r="G26" i="3"/>
  <c r="I26" i="3" s="1"/>
  <c r="G25" i="3"/>
  <c r="I25" i="3" s="1"/>
  <c r="G24" i="3"/>
  <c r="G22" i="3"/>
  <c r="I22" i="3" s="1"/>
  <c r="G21" i="3"/>
  <c r="I21" i="3" s="1"/>
  <c r="G20" i="3"/>
  <c r="I20" i="3" s="1"/>
  <c r="G18" i="3"/>
  <c r="G17" i="3"/>
  <c r="I17" i="3" s="1"/>
  <c r="G16" i="3"/>
  <c r="I16" i="3" s="1"/>
  <c r="G13" i="3"/>
  <c r="G12" i="3"/>
  <c r="G11" i="3"/>
  <c r="I11" i="3" s="1"/>
  <c r="G8" i="3"/>
  <c r="I8" i="3" s="1"/>
  <c r="G9" i="3"/>
  <c r="I9" i="3" s="1"/>
  <c r="G7" i="3"/>
  <c r="I7" i="3" s="1"/>
  <c r="I48" i="3"/>
  <c r="I47" i="3"/>
  <c r="I46" i="3"/>
  <c r="I43" i="3"/>
  <c r="I42" i="3"/>
  <c r="I39" i="3"/>
  <c r="I35" i="3"/>
  <c r="I33" i="3"/>
  <c r="I31" i="3"/>
  <c r="I30" i="3"/>
  <c r="I24" i="3"/>
  <c r="I18" i="3"/>
  <c r="I13" i="3"/>
  <c r="I12" i="3"/>
  <c r="G61" i="3" l="1"/>
  <c r="I61" i="3" s="1"/>
  <c r="G60" i="3"/>
  <c r="I60" i="3" s="1"/>
  <c r="G15" i="3" l="1"/>
  <c r="G23" i="3"/>
  <c r="G6" i="3"/>
  <c r="G50" i="3" l="1"/>
  <c r="E5" i="2" s="1"/>
  <c r="G28" i="3" l="1"/>
  <c r="G32" i="3"/>
  <c r="G36" i="3"/>
  <c r="G45" i="3"/>
  <c r="F53" i="3"/>
  <c r="I53" i="3" s="1"/>
  <c r="F52" i="3"/>
  <c r="I52" i="3" s="1"/>
  <c r="F51" i="3"/>
  <c r="I51" i="3" s="1"/>
  <c r="G57" i="3"/>
  <c r="C56" i="3"/>
  <c r="C55" i="3"/>
  <c r="G27" i="3" l="1"/>
  <c r="G56" i="3" l="1"/>
  <c r="I56" i="3" s="1"/>
  <c r="G55" i="3"/>
  <c r="I55" i="3" s="1"/>
  <c r="L12" i="13" l="1"/>
  <c r="G19" i="3" l="1"/>
  <c r="G14" i="3" s="1"/>
  <c r="G10" i="3"/>
  <c r="G5" i="3" s="1"/>
  <c r="G41" i="3"/>
  <c r="G40" i="3" s="1"/>
  <c r="G58" i="3"/>
  <c r="E7" i="2" s="1"/>
  <c r="G54" i="3"/>
  <c r="E6" i="2" s="1"/>
  <c r="G4" i="3" l="1"/>
  <c r="G49" i="3"/>
  <c r="E3" i="2" l="1"/>
  <c r="E4" i="2"/>
  <c r="J63" i="3" l="1"/>
  <c r="E9" i="2"/>
  <c r="K49" i="3"/>
  <c r="I62" i="3"/>
  <c r="I63" i="3"/>
  <c r="E2" i="2"/>
  <c r="G3" i="3"/>
  <c r="I3" i="3" l="1"/>
  <c r="K3" i="3"/>
  <c r="L12" i="3" s="1"/>
  <c r="L13" i="3" l="1"/>
  <c r="L14" i="3"/>
  <c r="L11" i="3"/>
  <c r="L5" i="3"/>
  <c r="L7" i="3"/>
  <c r="L4" i="3"/>
  <c r="L6" i="3"/>
  <c r="L15" i="3" l="1"/>
  <c r="L8" i="3"/>
</calcChain>
</file>

<file path=xl/sharedStrings.xml><?xml version="1.0" encoding="utf-8"?>
<sst xmlns="http://schemas.openxmlformats.org/spreadsheetml/2006/main" count="263" uniqueCount="135">
  <si>
    <t>예 산  산 출 내 역 서</t>
  </si>
  <si>
    <t>국토지리정보원</t>
  </si>
  <si>
    <t>품             명</t>
  </si>
  <si>
    <t>단  위</t>
  </si>
  <si>
    <t>수  량</t>
  </si>
  <si>
    <t>단  가</t>
  </si>
  <si>
    <t>금    액</t>
  </si>
  <si>
    <t xml:space="preserve">  1.  직접인건비</t>
  </si>
  <si>
    <t>식</t>
  </si>
  <si>
    <t xml:space="preserve">  2.  직접경비</t>
  </si>
  <si>
    <t xml:space="preserve">   가) 여비</t>
  </si>
  <si>
    <t xml:space="preserve">   나) 회의비</t>
  </si>
  <si>
    <t xml:space="preserve">  3. 일반관리비</t>
  </si>
  <si>
    <t>(연구부문 인건비+ 연구부문 경비)*5%이하</t>
  </si>
  <si>
    <t xml:space="preserve">  4. 부가가치세</t>
  </si>
  <si>
    <t>(인건비+경비+일반관리비)*10%</t>
  </si>
  <si>
    <t>수   량</t>
  </si>
  <si>
    <t>단   가</t>
  </si>
  <si>
    <t>금   액</t>
  </si>
  <si>
    <t>구성</t>
  </si>
  <si>
    <t>합계</t>
  </si>
  <si>
    <t>[1] 직접인건비</t>
  </si>
  <si>
    <t xml:space="preserve">    · 책임연구원</t>
  </si>
  <si>
    <t>인ㆍ월</t>
  </si>
  <si>
    <t>*</t>
  </si>
  <si>
    <t xml:space="preserve">    · 연구원</t>
  </si>
  <si>
    <t xml:space="preserve">    · 연구보조원</t>
  </si>
  <si>
    <t>[2] 직접경비</t>
  </si>
  <si>
    <t xml:space="preserve">    · 회의경비</t>
  </si>
  <si>
    <t>인ㆍ회</t>
  </si>
  <si>
    <t xml:space="preserve">    · 회의 참석수당</t>
  </si>
  <si>
    <t xml:space="preserve">    · 회의실 대여비</t>
  </si>
  <si>
    <t>회</t>
  </si>
  <si>
    <t>[3] 일반관리비</t>
  </si>
  <si>
    <t>[4] 부가가치세</t>
  </si>
  <si>
    <t xml:space="preserve">   가. 인건비</t>
  </si>
  <si>
    <t>ㅇ "예정가격작성기준" 제26조 별표5의 인건비 기준단가에 상여금 및 퇴직급여충당금 가산</t>
  </si>
  <si>
    <t xml:space="preserve">   - 상여금 : 400%,  퇴직급여충당금 : 100%</t>
  </si>
  <si>
    <t>21년 학술연구용역인건비기준단가</t>
  </si>
  <si>
    <t>적용금액</t>
  </si>
  <si>
    <t>비     고</t>
  </si>
  <si>
    <t>책임연구원</t>
  </si>
  <si>
    <t>(12개월+5개월)/12개월</t>
  </si>
  <si>
    <t>연   구   원</t>
  </si>
  <si>
    <t>연구보조원</t>
  </si>
  <si>
    <t>주) 본 인건비 기준단가는 1개월을 22일로 하여 용역 참여율 50%로 산정한 것이며, 용역 참여율을 달리하는 경우에는 기준단가를 증감시킬 수 있다.</t>
  </si>
  <si>
    <t xml:space="preserve">   나. 직접경비 </t>
  </si>
  <si>
    <t>ㅇ 본 용역에 소요되는 직접경비는 실비로 정산하는 것을 원칙으로 한다.</t>
  </si>
  <si>
    <t>ㅇ 국내여비 : 공무원보수 등의 업무지침 [시행 2019. 1. 25.] [인사혁신처예규 제67호, 2019. 1. 25., 일부개정] (운임은 서울~오송간 KTX 요금)</t>
  </si>
  <si>
    <t>책임연구원(1호)</t>
  </si>
  <si>
    <t>연구원(2호)</t>
  </si>
  <si>
    <t>연구보조원(2호)</t>
  </si>
  <si>
    <t>1일</t>
  </si>
  <si>
    <t>1박2일</t>
  </si>
  <si>
    <t>일비</t>
  </si>
  <si>
    <t>식비</t>
  </si>
  <si>
    <t>숙박비</t>
  </si>
  <si>
    <t>운임</t>
  </si>
  <si>
    <t>o 여비산출 근거</t>
  </si>
  <si>
    <t>1박 2일</t>
  </si>
  <si>
    <t>산출금액</t>
  </si>
  <si>
    <t>단가</t>
  </si>
  <si>
    <t>기준(인원 x 횟수)</t>
  </si>
  <si>
    <t>연구원</t>
  </si>
  <si>
    <t>총  계</t>
  </si>
  <si>
    <t>ㅇ 회의비</t>
  </si>
  <si>
    <t>구     분</t>
  </si>
  <si>
    <t>참석자 수</t>
  </si>
  <si>
    <t>회  수</t>
  </si>
  <si>
    <t>비        용</t>
  </si>
  <si>
    <t>계</t>
  </si>
  <si>
    <t>회 의 경 비</t>
  </si>
  <si>
    <t>참 석 수 당</t>
  </si>
  <si>
    <t>회의실대여비</t>
  </si>
  <si>
    <t>비      고</t>
    <phoneticPr fontId="2" type="noConversion"/>
  </si>
  <si>
    <t>합              계</t>
    <phoneticPr fontId="2" type="noConversion"/>
  </si>
  <si>
    <t>품             명</t>
    <phoneticPr fontId="2" type="noConversion"/>
  </si>
  <si>
    <t>원</t>
  </si>
  <si>
    <t>예 산 설 계 내 역 서</t>
  </si>
  <si>
    <t>1.</t>
  </si>
  <si>
    <t>합   계</t>
  </si>
  <si>
    <t>국 토 지 리 정 보 원</t>
  </si>
  <si>
    <t xml:space="preserve">   다) 인쇄비</t>
    <phoneticPr fontId="2" type="noConversion"/>
  </si>
  <si>
    <t xml:space="preserve">  1. 국내여비</t>
    <phoneticPr fontId="2" type="noConversion"/>
  </si>
  <si>
    <t xml:space="preserve">  2. 회의비</t>
    <phoneticPr fontId="2" type="noConversion"/>
  </si>
  <si>
    <t>○ 총사업비 : 구천이백육십만원정(\92,600,000)</t>
    <phoneticPr fontId="2" type="noConversion"/>
  </si>
  <si>
    <t>1. 예산설계서</t>
    <phoneticPr fontId="2" type="noConversion"/>
  </si>
  <si>
    <t xml:space="preserve">    · 연구보조원</t>
    <phoneticPr fontId="2" type="noConversion"/>
  </si>
  <si>
    <t>1-2 국가기본도 도로망도 현황 검토</t>
    <phoneticPr fontId="2" type="noConversion"/>
  </si>
  <si>
    <t>2-1 도로망도 분석 알고리즘을 활용하여 국가기본도 기반 도로망도 500m 격자 접근성 지표 산출</t>
    <phoneticPr fontId="2" type="noConversion"/>
  </si>
  <si>
    <t>2-2 국가기본도 도로망도 활용한 500m 접근성 지표 생산(생활권시설, 거점시설 각 1종)</t>
    <phoneticPr fontId="2" type="noConversion"/>
  </si>
  <si>
    <t>2-3 시범지역 대상으로 국가기본도 도로망도 기반250m 접근성지표 생산</t>
    <phoneticPr fontId="2" type="noConversion"/>
  </si>
  <si>
    <t>3-2 - 지역 특성 구분에 따른 민간 도로망도와 국가기본도 도로망도의 접근성 산출 결과 비교</t>
    <phoneticPr fontId="2" type="noConversion"/>
  </si>
  <si>
    <t>3-3 민간도로망도와 국가기본도 도로망도를 각각 적용할 경우의 지표 산출 효율성 및 경제성 비교</t>
    <phoneticPr fontId="2" type="noConversion"/>
  </si>
  <si>
    <t>4-2 국가기본도 도로망도 기반 접근성지표 생산을 위한 향후 추진과제 도출</t>
    <phoneticPr fontId="2" type="noConversion"/>
  </si>
  <si>
    <t xml:space="preserve">    · 인쇄비</t>
  </si>
  <si>
    <t xml:space="preserve">    · 임차료</t>
  </si>
  <si>
    <t xml:space="preserve">    · 전산처리비 (사무용품 및 전산용품)</t>
  </si>
  <si>
    <t>*</t>
    <phoneticPr fontId="2" type="noConversion"/>
  </si>
  <si>
    <t>* 착수/중간/최종 보고회, 자문회의, 업무협의회 등에 필요한 회의횟수 적용</t>
  </si>
  <si>
    <t>*  데이터의 직접 구매 및 알고리즘 개선이 어려운 분석 및 검토 단계에서는, 관련 업체와의 지속적인 자문을 수행 예정</t>
  </si>
  <si>
    <t>ㅇ 인쇄비</t>
  </si>
  <si>
    <t xml:space="preserve">  - 적용근거 : 조달청 『인쇄기준요금』(2011폐지)을 기초로 작성한 것으로서, 인쇄발주시 연구수행 기관의 출판 규정이나 주거래업체의 비교견적을 따름</t>
  </si>
  <si>
    <t>표  지</t>
  </si>
  <si>
    <t>15,370 x 20</t>
  </si>
  <si>
    <t>내  용</t>
  </si>
  <si>
    <t xml:space="preserve">    (8,180-3,470) × 18쪽</t>
  </si>
  <si>
    <t>부가세</t>
  </si>
  <si>
    <t>(표지 ＋ 내용) × 10%</t>
  </si>
  <si>
    <t xml:space="preserve">    (8,180-3,470) × 30쪽</t>
  </si>
  <si>
    <t>15,370 x 50</t>
  </si>
  <si>
    <t xml:space="preserve">    (8,180-3,470) × 200쪽</t>
  </si>
  <si>
    <r>
      <rPr>
        <b/>
        <sz val="11"/>
        <rFont val="맑은 고딕"/>
        <family val="3"/>
        <charset val="129"/>
        <scheme val="major"/>
      </rPr>
      <t>착수보고서  20부</t>
    </r>
    <r>
      <rPr>
        <sz val="11"/>
        <rFont val="맑은 고딕"/>
        <family val="3"/>
        <charset val="129"/>
        <scheme val="major"/>
      </rPr>
      <t xml:space="preserve"> (16절, 20쪽, 백상지, 경인쇄 기준)</t>
    </r>
  </si>
  <si>
    <r>
      <rPr>
        <b/>
        <sz val="11"/>
        <rFont val="맑은 고딕"/>
        <family val="3"/>
        <charset val="129"/>
        <scheme val="major"/>
      </rPr>
      <t>중간보고서  20부</t>
    </r>
    <r>
      <rPr>
        <sz val="11"/>
        <rFont val="맑은 고딕"/>
        <family val="3"/>
        <charset val="129"/>
        <scheme val="major"/>
      </rPr>
      <t xml:space="preserve">  (16절, 30쪽, 백상지, 경인쇄 기준)</t>
    </r>
  </si>
  <si>
    <r>
      <rPr>
        <b/>
        <sz val="11"/>
        <rFont val="맑은 고딕"/>
        <family val="3"/>
        <charset val="129"/>
        <scheme val="major"/>
      </rPr>
      <t>완료보고서  30부</t>
    </r>
    <r>
      <rPr>
        <sz val="11"/>
        <rFont val="맑은 고딕"/>
        <family val="3"/>
        <charset val="129"/>
        <scheme val="major"/>
      </rPr>
      <t xml:space="preserve"> (16절, 200쪽, 백상지, 경인쇄 기준)</t>
    </r>
  </si>
  <si>
    <t>□ 국가기본도 도로망도 기반 국토조사 접근성 지표 생산방안 연구</t>
    <phoneticPr fontId="2" type="noConversion"/>
  </si>
  <si>
    <t>2021. 11</t>
    <phoneticPr fontId="2" type="noConversion"/>
  </si>
  <si>
    <t>국가기본도 도로망도 기반 국토조사 접근성 지표 생산방안 연구</t>
    <phoneticPr fontId="2" type="noConversion"/>
  </si>
  <si>
    <t xml:space="preserve">  3-1 21년 국토조사 민간 도로망도 적용 접근성지표 산출 결과와 국가기본도 도로망도 적용 결과 비교</t>
    <phoneticPr fontId="2" type="noConversion"/>
  </si>
  <si>
    <t xml:space="preserve">  1-1 국토조사 접근성지표 생산에 활용하고 있는 민간 도로망도 현황 검토</t>
    <phoneticPr fontId="2" type="noConversion"/>
  </si>
  <si>
    <t>4-1. 국가기본도 도로망도 생산사양 개선방안 제시</t>
    <phoneticPr fontId="2" type="noConversion"/>
  </si>
  <si>
    <t xml:space="preserve">  3. 수용비 및 전산처리비</t>
    <phoneticPr fontId="2" type="noConversion"/>
  </si>
  <si>
    <t>구    분</t>
    <phoneticPr fontId="2" type="noConversion"/>
  </si>
  <si>
    <t>* 연구수행을 위한 자문회의, 워크숍, 업무협의회 등에 필요한 출장횟수를 적용</t>
    <phoneticPr fontId="2" type="noConversion"/>
  </si>
  <si>
    <t>구    분</t>
    <phoneticPr fontId="39" type="noConversion"/>
  </si>
  <si>
    <t>총          계</t>
    <phoneticPr fontId="2" type="noConversion"/>
  </si>
  <si>
    <t>1. 학술용역 단가 산출근거</t>
    <phoneticPr fontId="2" type="noConversion"/>
  </si>
  <si>
    <t xml:space="preserve">구          분  </t>
    <phoneticPr fontId="2" type="noConversion"/>
  </si>
  <si>
    <t>요     율</t>
    <phoneticPr fontId="2" type="noConversion"/>
  </si>
  <si>
    <t>산    출    내    역</t>
    <phoneticPr fontId="39" type="noConversion"/>
  </si>
  <si>
    <t>산출금액</t>
    <phoneticPr fontId="39" type="noConversion"/>
  </si>
  <si>
    <t>3. 민간-국가기본도 도로망도 적용 결과 비교 분석</t>
  </si>
  <si>
    <t>4. 국가기본도 도로망도 기반 접근성지표 생산의 안정적 도입 방안 도출 
   도출</t>
  </si>
  <si>
    <t>1. 민간 및 국가기본도 기반 도로망도 현황 분석</t>
    <phoneticPr fontId="2" type="noConversion"/>
  </si>
  <si>
    <t>2. 국가기본도 도로망도를 활용한 접근성지표 산출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</si>
</sst>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_-;\-* #,##0_-;_-* &quot;-&quot;_-;_-@_-"/>
    <numFmt numFmtId="43" formatCode="_-* #,##0.00_-;\-* #,##0.00_-;_-* &quot;-&quot;??_-;_-@_-"/>
    <numFmt numFmtId="176" formatCode="#,##0.000"/>
    <numFmt numFmtId="177" formatCode="0.00_);[Red]\(0.00\)"/>
    <numFmt numFmtId="178" formatCode="_-* #,##0.0_-;\-* #,##0.0_-;_-* &quot;-&quot;?_-;_-@_-"/>
    <numFmt numFmtId="179" formatCode="_-* #,##0.000_-;\-* #,##0.000_-;_-* &quot;-&quot;???_-;_-@_-"/>
    <numFmt numFmtId="180" formatCode="#,##0_ "/>
    <numFmt numFmtId="181" formatCode="_-* #,##0.000_-;\-* #,##0.000_-;_-* &quot;-&quot;_-;_-@_-"/>
    <numFmt numFmtId="182" formatCode="0.0%"/>
  </numFmts>
  <fonts count="47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20"/>
      <name val="HY헤드라인M"/>
      <family val="1"/>
      <charset val="129"/>
    </font>
    <font>
      <sz val="14"/>
      <name val="HY헤드라인M"/>
      <family val="1"/>
      <charset val="129"/>
    </font>
    <font>
      <sz val="10"/>
      <name val="HY헤드라인M"/>
      <family val="1"/>
      <charset val="129"/>
    </font>
    <font>
      <sz val="12"/>
      <name val="HY헤드라인M"/>
      <family val="1"/>
      <charset val="129"/>
    </font>
    <font>
      <sz val="24"/>
      <name val="HY헤드라인M"/>
      <family val="1"/>
      <charset val="129"/>
    </font>
    <font>
      <sz val="36"/>
      <name val="HY헤드라인M"/>
      <family val="1"/>
      <charset val="129"/>
    </font>
    <font>
      <b/>
      <sz val="18"/>
      <name val="HY헤드라인M"/>
      <family val="1"/>
      <charset val="129"/>
    </font>
    <font>
      <sz val="10"/>
      <color theme="1"/>
      <name val="맑은 고딕"/>
      <family val="2"/>
      <charset val="129"/>
      <scheme val="minor"/>
    </font>
    <font>
      <sz val="12"/>
      <color theme="1"/>
      <name val="맑은 고딕"/>
      <family val="2"/>
      <charset val="129"/>
      <scheme val="minor"/>
    </font>
    <font>
      <sz val="14"/>
      <color theme="1"/>
      <name val="맑은 고딕"/>
      <family val="2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6"/>
      <color theme="1"/>
      <name val="맑은 고딕"/>
      <family val="2"/>
      <charset val="129"/>
      <scheme val="minor"/>
    </font>
    <font>
      <sz val="16"/>
      <color theme="1"/>
      <name val="맑은 고딕"/>
      <family val="3"/>
      <charset val="129"/>
      <scheme val="minor"/>
    </font>
    <font>
      <sz val="22"/>
      <color theme="1"/>
      <name val="맑은 고딕"/>
      <family val="2"/>
      <charset val="129"/>
      <scheme val="minor"/>
    </font>
    <font>
      <sz val="22"/>
      <color theme="1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26"/>
      <color theme="1"/>
      <name val="맑은 고딕"/>
      <family val="2"/>
      <charset val="129"/>
      <scheme val="minor"/>
    </font>
    <font>
      <sz val="18"/>
      <color theme="1"/>
      <name val="맑은 고딕"/>
      <family val="2"/>
      <charset val="129"/>
      <scheme val="minor"/>
    </font>
    <font>
      <sz val="18"/>
      <color theme="1"/>
      <name val="맑은 고딕"/>
      <family val="3"/>
      <charset val="129"/>
      <scheme val="minor"/>
    </font>
    <font>
      <b/>
      <sz val="26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2"/>
      <color rgb="FFFF0000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sz val="12"/>
      <color rgb="FFFF000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2"/>
      <name val="굴림"/>
      <family val="3"/>
      <charset val="129"/>
    </font>
    <font>
      <b/>
      <sz val="12"/>
      <name val="굴림"/>
      <family val="3"/>
      <charset val="129"/>
    </font>
    <font>
      <b/>
      <sz val="12"/>
      <color rgb="FF0000FF"/>
      <name val="굴림"/>
      <family val="3"/>
      <charset val="129"/>
    </font>
    <font>
      <sz val="8"/>
      <name val="돋움"/>
      <family val="3"/>
      <charset val="129"/>
    </font>
    <font>
      <sz val="12"/>
      <color indexed="8"/>
      <name val="굴림"/>
      <family val="3"/>
      <charset val="129"/>
    </font>
    <font>
      <sz val="11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sz val="10"/>
      <name val="굴림"/>
      <family val="3"/>
      <charset val="129"/>
    </font>
    <font>
      <sz val="12"/>
      <name val="맑은 고딕"/>
      <family val="3"/>
      <charset val="129"/>
      <scheme val="minor"/>
    </font>
    <font>
      <b/>
      <sz val="12"/>
      <color rgb="FF0000FF"/>
      <name val="맑은 고딕"/>
      <family val="3"/>
      <charset val="129"/>
      <scheme val="minor"/>
    </font>
    <font>
      <b/>
      <sz val="10"/>
      <color rgb="FF0000FF"/>
      <name val="굴림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0" borderId="0"/>
    <xf numFmtId="0" fontId="20" fillId="0" borderId="0"/>
    <xf numFmtId="41" fontId="2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3" fillId="0" borderId="0">
      <alignment vertical="center"/>
    </xf>
    <xf numFmtId="0" fontId="3" fillId="0" borderId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/>
    <xf numFmtId="0" fontId="33" fillId="0" borderId="0">
      <alignment vertical="center"/>
    </xf>
    <xf numFmtId="41" fontId="33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60">
    <xf numFmtId="0" fontId="0" fillId="0" borderId="0" xfId="0">
      <alignment vertical="center"/>
    </xf>
    <xf numFmtId="0" fontId="4" fillId="2" borderId="3" xfId="2" applyFont="1" applyFill="1" applyBorder="1" applyAlignment="1">
      <alignment horizontal="left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 wrapText="1"/>
    </xf>
    <xf numFmtId="3" fontId="6" fillId="2" borderId="5" xfId="2" applyNumberFormat="1" applyFont="1" applyFill="1" applyBorder="1" applyAlignment="1">
      <alignment vertical="center"/>
    </xf>
    <xf numFmtId="3" fontId="7" fillId="2" borderId="0" xfId="2" applyNumberFormat="1" applyFont="1" applyFill="1" applyBorder="1" applyAlignment="1">
      <alignment horizontal="center" vertical="center"/>
    </xf>
    <xf numFmtId="3" fontId="7" fillId="2" borderId="0" xfId="2" applyNumberFormat="1" applyFont="1" applyFill="1" applyBorder="1" applyAlignment="1">
      <alignment vertical="center"/>
    </xf>
    <xf numFmtId="0" fontId="7" fillId="2" borderId="6" xfId="2" applyFont="1" applyFill="1" applyBorder="1"/>
    <xf numFmtId="3" fontId="7" fillId="2" borderId="5" xfId="2" applyNumberFormat="1" applyFont="1" applyFill="1" applyBorder="1" applyAlignment="1">
      <alignment horizontal="right" vertical="center"/>
    </xf>
    <xf numFmtId="3" fontId="5" fillId="2" borderId="0" xfId="2" applyNumberFormat="1" applyFont="1" applyFill="1" applyBorder="1" applyAlignment="1">
      <alignment vertical="center"/>
    </xf>
    <xf numFmtId="3" fontId="7" fillId="2" borderId="0" xfId="2" applyNumberFormat="1" applyFont="1" applyFill="1" applyBorder="1" applyAlignment="1">
      <alignment horizontal="right" vertical="center"/>
    </xf>
    <xf numFmtId="3" fontId="4" fillId="2" borderId="0" xfId="2" applyNumberFormat="1" applyFont="1" applyFill="1" applyBorder="1" applyAlignment="1">
      <alignment horizontal="center" vertical="center"/>
    </xf>
    <xf numFmtId="0" fontId="5" fillId="2" borderId="0" xfId="2" applyFont="1" applyFill="1" applyBorder="1" applyAlignment="1">
      <alignment vertical="center"/>
    </xf>
    <xf numFmtId="0" fontId="8" fillId="2" borderId="5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center" vertical="center"/>
    </xf>
    <xf numFmtId="0" fontId="8" fillId="2" borderId="8" xfId="2" applyFont="1" applyFill="1" applyBorder="1" applyAlignment="1">
      <alignment horizontal="center" vertical="center"/>
    </xf>
    <xf numFmtId="41" fontId="12" fillId="0" borderId="19" xfId="1" applyFont="1" applyBorder="1">
      <alignment vertical="center"/>
    </xf>
    <xf numFmtId="41" fontId="0" fillId="0" borderId="0" xfId="1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2" fillId="0" borderId="18" xfId="0" applyFont="1" applyBorder="1" applyAlignment="1">
      <alignment horizontal="left" vertical="center" indent="1"/>
    </xf>
    <xf numFmtId="0" fontId="12" fillId="0" borderId="19" xfId="0" applyFont="1" applyBorder="1" applyAlignment="1">
      <alignment horizontal="left" vertical="center" indent="1"/>
    </xf>
    <xf numFmtId="0" fontId="12" fillId="0" borderId="20" xfId="0" applyFont="1" applyBorder="1" applyAlignment="1">
      <alignment horizontal="left" vertical="center" indent="1"/>
    </xf>
    <xf numFmtId="0" fontId="0" fillId="0" borderId="0" xfId="0" applyBorder="1">
      <alignment vertical="center"/>
    </xf>
    <xf numFmtId="41" fontId="0" fillId="0" borderId="19" xfId="1" applyFont="1" applyBorder="1">
      <alignment vertical="center"/>
    </xf>
    <xf numFmtId="0" fontId="0" fillId="0" borderId="18" xfId="0" applyBorder="1" applyAlignment="1">
      <alignment horizontal="left" vertical="center" inden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1" fontId="0" fillId="0" borderId="19" xfId="1" applyFont="1" applyBorder="1" applyAlignment="1">
      <alignment horizontal="center" vertical="center"/>
    </xf>
    <xf numFmtId="177" fontId="19" fillId="0" borderId="20" xfId="0" applyNumberFormat="1" applyFont="1" applyBorder="1">
      <alignment vertical="center"/>
    </xf>
    <xf numFmtId="177" fontId="19" fillId="0" borderId="0" xfId="0" applyNumberFormat="1" applyFont="1">
      <alignment vertical="center"/>
    </xf>
    <xf numFmtId="0" fontId="0" fillId="3" borderId="18" xfId="0" applyFill="1" applyBorder="1" applyAlignment="1">
      <alignment horizontal="left" vertical="center" indent="1"/>
    </xf>
    <xf numFmtId="0" fontId="0" fillId="3" borderId="19" xfId="0" applyFill="1" applyBorder="1" applyAlignment="1">
      <alignment horizontal="center" vertical="center"/>
    </xf>
    <xf numFmtId="41" fontId="0" fillId="3" borderId="19" xfId="1" applyFont="1" applyFill="1" applyBorder="1">
      <alignment vertical="center"/>
    </xf>
    <xf numFmtId="177" fontId="19" fillId="3" borderId="20" xfId="0" applyNumberFormat="1" applyFont="1" applyFill="1" applyBorder="1" applyAlignment="1">
      <alignment horizontal="center" vertical="center"/>
    </xf>
    <xf numFmtId="177" fontId="19" fillId="3" borderId="20" xfId="0" applyNumberFormat="1" applyFont="1" applyFill="1" applyBorder="1">
      <alignment vertical="center"/>
    </xf>
    <xf numFmtId="0" fontId="0" fillId="3" borderId="21" xfId="0" applyFill="1" applyBorder="1" applyAlignment="1">
      <alignment horizontal="left" vertical="center" indent="1"/>
    </xf>
    <xf numFmtId="0" fontId="0" fillId="3" borderId="22" xfId="0" applyFill="1" applyBorder="1" applyAlignment="1">
      <alignment horizontal="center" vertical="center"/>
    </xf>
    <xf numFmtId="41" fontId="0" fillId="3" borderId="22" xfId="1" applyFont="1" applyFill="1" applyBorder="1">
      <alignment vertical="center"/>
    </xf>
    <xf numFmtId="177" fontId="19" fillId="3" borderId="23" xfId="0" applyNumberFormat="1" applyFont="1" applyFill="1" applyBorder="1">
      <alignment vertical="center"/>
    </xf>
    <xf numFmtId="0" fontId="11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>
      <alignment vertical="center"/>
    </xf>
    <xf numFmtId="41" fontId="0" fillId="0" borderId="20" xfId="1" applyFont="1" applyBorder="1" applyAlignment="1">
      <alignment horizontal="center" vertical="center"/>
    </xf>
    <xf numFmtId="41" fontId="0" fillId="0" borderId="22" xfId="1" applyFont="1" applyBorder="1" applyAlignment="1">
      <alignment horizontal="center" vertical="center"/>
    </xf>
    <xf numFmtId="41" fontId="0" fillId="0" borderId="23" xfId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41" fontId="14" fillId="0" borderId="0" xfId="1" applyFont="1">
      <alignment vertical="center"/>
    </xf>
    <xf numFmtId="41" fontId="0" fillId="4" borderId="19" xfId="1" applyFont="1" applyFill="1" applyBorder="1" applyAlignment="1">
      <alignment horizontal="center" vertical="center"/>
    </xf>
    <xf numFmtId="41" fontId="0" fillId="4" borderId="20" xfId="1" applyFont="1" applyFill="1" applyBorder="1" applyAlignment="1">
      <alignment horizontal="center" vertical="center"/>
    </xf>
    <xf numFmtId="0" fontId="12" fillId="0" borderId="19" xfId="0" applyNumberFormat="1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177" fontId="19" fillId="0" borderId="20" xfId="0" applyNumberFormat="1" applyFont="1" applyFill="1" applyBorder="1">
      <alignment vertical="center"/>
    </xf>
    <xf numFmtId="43" fontId="0" fillId="0" borderId="0" xfId="0" applyNumberFormat="1">
      <alignment vertical="center"/>
    </xf>
    <xf numFmtId="41" fontId="12" fillId="3" borderId="19" xfId="1" applyFont="1" applyFill="1" applyBorder="1">
      <alignment vertical="center"/>
    </xf>
    <xf numFmtId="0" fontId="12" fillId="3" borderId="20" xfId="0" applyFont="1" applyFill="1" applyBorder="1" applyAlignment="1">
      <alignment horizontal="left" vertical="center" indent="1"/>
    </xf>
    <xf numFmtId="0" fontId="12" fillId="0" borderId="10" xfId="0" applyFont="1" applyBorder="1" applyAlignment="1">
      <alignment horizontal="left" vertical="center" indent="1"/>
    </xf>
    <xf numFmtId="0" fontId="12" fillId="0" borderId="11" xfId="0" applyFont="1" applyBorder="1" applyAlignment="1">
      <alignment horizontal="left" vertical="center" indent="1"/>
    </xf>
    <xf numFmtId="0" fontId="12" fillId="0" borderId="24" xfId="0" applyFont="1" applyBorder="1" applyAlignment="1">
      <alignment horizontal="left" vertical="center" indent="1"/>
    </xf>
    <xf numFmtId="0" fontId="15" fillId="0" borderId="0" xfId="0" applyFont="1">
      <alignment vertical="center"/>
    </xf>
    <xf numFmtId="0" fontId="24" fillId="0" borderId="0" xfId="0" applyFont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24" fillId="0" borderId="5" xfId="0" applyFont="1" applyBorder="1">
      <alignment vertical="center"/>
    </xf>
    <xf numFmtId="0" fontId="24" fillId="0" borderId="0" xfId="0" applyFont="1" applyBorder="1">
      <alignment vertical="center"/>
    </xf>
    <xf numFmtId="41" fontId="25" fillId="0" borderId="0" xfId="1" applyFont="1" applyBorder="1">
      <alignment vertical="center"/>
    </xf>
    <xf numFmtId="0" fontId="24" fillId="0" borderId="6" xfId="0" applyFont="1" applyBorder="1">
      <alignment vertical="center"/>
    </xf>
    <xf numFmtId="0" fontId="15" fillId="0" borderId="5" xfId="0" applyFont="1" applyBorder="1">
      <alignment vertical="center"/>
    </xf>
    <xf numFmtId="0" fontId="15" fillId="0" borderId="0" xfId="0" applyFont="1" applyBorder="1">
      <alignment vertical="center"/>
    </xf>
    <xf numFmtId="41" fontId="16" fillId="0" borderId="0" xfId="0" applyNumberFormat="1" applyFont="1" applyBorder="1">
      <alignment vertical="center"/>
    </xf>
    <xf numFmtId="0" fontId="15" fillId="0" borderId="6" xfId="0" applyFont="1" applyBorder="1">
      <alignment vertical="center"/>
    </xf>
    <xf numFmtId="0" fontId="0" fillId="0" borderId="7" xfId="0" applyBorder="1">
      <alignment vertical="center"/>
    </xf>
    <xf numFmtId="0" fontId="0" fillId="0" borderId="1" xfId="0" applyBorder="1">
      <alignment vertical="center"/>
    </xf>
    <xf numFmtId="0" fontId="0" fillId="0" borderId="8" xfId="0" applyBorder="1">
      <alignment vertical="center"/>
    </xf>
    <xf numFmtId="0" fontId="22" fillId="0" borderId="0" xfId="0" applyFont="1" applyBorder="1">
      <alignment vertical="center"/>
    </xf>
    <xf numFmtId="0" fontId="0" fillId="4" borderId="18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5" borderId="18" xfId="0" applyFill="1" applyBorder="1" applyAlignment="1">
      <alignment horizontal="left" vertical="center" indent="1"/>
    </xf>
    <xf numFmtId="0" fontId="0" fillId="5" borderId="19" xfId="0" applyFill="1" applyBorder="1" applyAlignment="1">
      <alignment horizontal="center" vertical="center"/>
    </xf>
    <xf numFmtId="41" fontId="0" fillId="5" borderId="19" xfId="1" applyFont="1" applyFill="1" applyBorder="1">
      <alignment vertical="center"/>
    </xf>
    <xf numFmtId="41" fontId="0" fillId="5" borderId="19" xfId="1" applyFont="1" applyFill="1" applyBorder="1" applyAlignment="1">
      <alignment horizontal="center" vertical="center"/>
    </xf>
    <xf numFmtId="41" fontId="0" fillId="5" borderId="20" xfId="1" applyFont="1" applyFill="1" applyBorder="1" applyAlignment="1">
      <alignment horizontal="center" vertical="center"/>
    </xf>
    <xf numFmtId="0" fontId="0" fillId="5" borderId="25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24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41" fontId="0" fillId="4" borderId="22" xfId="1" applyFont="1" applyFill="1" applyBorder="1" applyAlignment="1">
      <alignment horizontal="center" vertical="center"/>
    </xf>
    <xf numFmtId="41" fontId="0" fillId="4" borderId="23" xfId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5" borderId="25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24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41" fontId="0" fillId="0" borderId="24" xfId="0" applyNumberFormat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41" fontId="0" fillId="0" borderId="25" xfId="0" applyNumberFormat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6" borderId="18" xfId="0" applyFill="1" applyBorder="1" applyAlignment="1">
      <alignment horizontal="left" vertical="center" indent="1"/>
    </xf>
    <xf numFmtId="0" fontId="0" fillId="6" borderId="19" xfId="0" applyFill="1" applyBorder="1" applyAlignment="1">
      <alignment horizontal="center" vertical="center"/>
    </xf>
    <xf numFmtId="0" fontId="0" fillId="6" borderId="25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24" xfId="0" applyFill="1" applyBorder="1" applyAlignment="1">
      <alignment horizontal="center" vertical="center"/>
    </xf>
    <xf numFmtId="41" fontId="0" fillId="6" borderId="19" xfId="1" applyFont="1" applyFill="1" applyBorder="1">
      <alignment vertical="center"/>
    </xf>
    <xf numFmtId="177" fontId="19" fillId="6" borderId="20" xfId="0" applyNumberFormat="1" applyFont="1" applyFill="1" applyBorder="1">
      <alignment vertical="center"/>
    </xf>
    <xf numFmtId="0" fontId="0" fillId="6" borderId="18" xfId="0" applyFill="1" applyBorder="1" applyAlignment="1">
      <alignment horizontal="left" vertical="center" wrapText="1" indent="1"/>
    </xf>
    <xf numFmtId="0" fontId="27" fillId="5" borderId="17" xfId="0" applyFont="1" applyFill="1" applyBorder="1" applyAlignment="1">
      <alignment horizontal="center" vertical="center"/>
    </xf>
    <xf numFmtId="0" fontId="27" fillId="5" borderId="15" xfId="0" applyFont="1" applyFill="1" applyBorder="1" applyAlignment="1">
      <alignment horizontal="center" vertical="center"/>
    </xf>
    <xf numFmtId="0" fontId="27" fillId="5" borderId="16" xfId="0" applyFont="1" applyFill="1" applyBorder="1" applyAlignment="1">
      <alignment horizontal="center" vertical="center"/>
    </xf>
    <xf numFmtId="0" fontId="28" fillId="0" borderId="0" xfId="0" applyFont="1">
      <alignment vertical="center"/>
    </xf>
    <xf numFmtId="0" fontId="28" fillId="4" borderId="15" xfId="0" applyFont="1" applyFill="1" applyBorder="1" applyAlignment="1">
      <alignment horizontal="center" vertical="center"/>
    </xf>
    <xf numFmtId="0" fontId="28" fillId="4" borderId="16" xfId="0" applyFont="1" applyFill="1" applyBorder="1" applyAlignment="1">
      <alignment horizontal="center" vertical="center"/>
    </xf>
    <xf numFmtId="41" fontId="28" fillId="4" borderId="16" xfId="1" applyFont="1" applyFill="1" applyBorder="1" applyAlignment="1">
      <alignment horizontal="center" vertical="center"/>
    </xf>
    <xf numFmtId="177" fontId="28" fillId="4" borderId="17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2" fillId="7" borderId="18" xfId="0" applyFont="1" applyFill="1" applyBorder="1" applyAlignment="1">
      <alignment horizontal="left" vertical="center" indent="1"/>
    </xf>
    <xf numFmtId="0" fontId="12" fillId="7" borderId="19" xfId="0" applyFont="1" applyFill="1" applyBorder="1" applyAlignment="1">
      <alignment horizontal="left" vertical="center" indent="1"/>
    </xf>
    <xf numFmtId="0" fontId="12" fillId="7" borderId="19" xfId="0" applyNumberFormat="1" applyFont="1" applyFill="1" applyBorder="1" applyAlignment="1">
      <alignment horizontal="center" vertical="center"/>
    </xf>
    <xf numFmtId="41" fontId="12" fillId="7" borderId="19" xfId="1" applyFont="1" applyFill="1" applyBorder="1">
      <alignment vertical="center"/>
    </xf>
    <xf numFmtId="41" fontId="12" fillId="7" borderId="20" xfId="0" applyNumberFormat="1" applyFont="1" applyFill="1" applyBorder="1" applyAlignment="1">
      <alignment horizontal="left" vertical="center" indent="1"/>
    </xf>
    <xf numFmtId="0" fontId="12" fillId="7" borderId="19" xfId="0" applyFont="1" applyFill="1" applyBorder="1" applyAlignment="1">
      <alignment horizontal="center" vertical="center"/>
    </xf>
    <xf numFmtId="0" fontId="12" fillId="7" borderId="20" xfId="0" applyFont="1" applyFill="1" applyBorder="1" applyAlignment="1">
      <alignment horizontal="left" vertical="center" indent="1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0" fillId="0" borderId="0" xfId="0" applyFont="1" applyBorder="1">
      <alignment vertical="center"/>
    </xf>
    <xf numFmtId="41" fontId="29" fillId="0" borderId="0" xfId="1" applyFont="1" applyFill="1">
      <alignment vertical="center"/>
    </xf>
    <xf numFmtId="41" fontId="30" fillId="0" borderId="0" xfId="1" applyFont="1" applyFill="1">
      <alignment vertical="center"/>
    </xf>
    <xf numFmtId="0" fontId="30" fillId="0" borderId="0" xfId="0" applyFont="1" applyFill="1">
      <alignment vertical="center"/>
    </xf>
    <xf numFmtId="41" fontId="31" fillId="0" borderId="0" xfId="1" applyFont="1" applyFill="1">
      <alignment vertical="center"/>
    </xf>
    <xf numFmtId="41" fontId="32" fillId="0" borderId="0" xfId="1" applyFont="1" applyFill="1">
      <alignment vertical="center"/>
    </xf>
    <xf numFmtId="43" fontId="32" fillId="0" borderId="0" xfId="0" applyNumberFormat="1" applyFont="1" applyFill="1">
      <alignment vertical="center"/>
    </xf>
    <xf numFmtId="0" fontId="32" fillId="0" borderId="0" xfId="0" applyFont="1" applyFill="1">
      <alignment vertical="center"/>
    </xf>
    <xf numFmtId="179" fontId="32" fillId="0" borderId="0" xfId="0" applyNumberFormat="1" applyFont="1" applyFill="1">
      <alignment vertical="center"/>
    </xf>
    <xf numFmtId="49" fontId="34" fillId="0" borderId="31" xfId="7" applyNumberFormat="1" applyFont="1" applyBorder="1">
      <alignment vertical="center"/>
    </xf>
    <xf numFmtId="49" fontId="35" fillId="0" borderId="31" xfId="7" applyNumberFormat="1" applyFont="1" applyBorder="1">
      <alignment vertical="center"/>
    </xf>
    <xf numFmtId="0" fontId="36" fillId="0" borderId="0" xfId="8" applyFont="1" applyAlignment="1">
      <alignment vertical="center"/>
    </xf>
    <xf numFmtId="41" fontId="36" fillId="0" borderId="0" xfId="9" applyFont="1" applyAlignment="1">
      <alignment horizontal="center" vertical="center"/>
    </xf>
    <xf numFmtId="41" fontId="37" fillId="0" borderId="0" xfId="9" applyFont="1" applyAlignment="1">
      <alignment horizontal="center" vertical="center"/>
    </xf>
    <xf numFmtId="0" fontId="36" fillId="0" borderId="0" xfId="8" applyFont="1"/>
    <xf numFmtId="41" fontId="38" fillId="0" borderId="0" xfId="10" applyFont="1"/>
    <xf numFmtId="41" fontId="36" fillId="0" borderId="0" xfId="10" applyFont="1"/>
    <xf numFmtId="0" fontId="40" fillId="0" borderId="0" xfId="12" applyFont="1" applyAlignment="1">
      <alignment horizontal="center" vertical="center"/>
    </xf>
    <xf numFmtId="41" fontId="42" fillId="0" borderId="20" xfId="9" applyFont="1" applyFill="1" applyBorder="1" applyAlignment="1">
      <alignment horizontal="center" vertical="center"/>
    </xf>
    <xf numFmtId="49" fontId="41" fillId="0" borderId="30" xfId="11" applyNumberFormat="1" applyFont="1" applyFill="1" applyBorder="1" applyAlignment="1">
      <alignment horizontal="center" vertical="center" wrapText="1"/>
    </xf>
    <xf numFmtId="41" fontId="41" fillId="0" borderId="20" xfId="9" applyFont="1" applyFill="1" applyBorder="1" applyAlignment="1">
      <alignment horizontal="center" vertical="center"/>
    </xf>
    <xf numFmtId="41" fontId="42" fillId="0" borderId="23" xfId="9" applyFont="1" applyFill="1" applyBorder="1" applyAlignment="1">
      <alignment horizontal="center" vertical="center"/>
    </xf>
    <xf numFmtId="41" fontId="43" fillId="0" borderId="0" xfId="9" applyFont="1" applyAlignment="1">
      <alignment horizontal="center" vertical="center"/>
    </xf>
    <xf numFmtId="0" fontId="0" fillId="0" borderId="20" xfId="0" applyFont="1" applyBorder="1" applyAlignment="1">
      <alignment horizontal="left" vertical="center" indent="1"/>
    </xf>
    <xf numFmtId="0" fontId="20" fillId="0" borderId="20" xfId="0" applyFont="1" applyBorder="1" applyAlignment="1">
      <alignment horizontal="left" vertical="center" indent="1"/>
    </xf>
    <xf numFmtId="41" fontId="0" fillId="0" borderId="0" xfId="0" applyNumberFormat="1">
      <alignment vertical="center"/>
    </xf>
    <xf numFmtId="10" fontId="0" fillId="0" borderId="0" xfId="14" applyNumberFormat="1" applyFont="1">
      <alignment vertical="center"/>
    </xf>
    <xf numFmtId="41" fontId="0" fillId="0" borderId="19" xfId="1" applyNumberFormat="1" applyFont="1" applyBorder="1">
      <alignment vertical="center"/>
    </xf>
    <xf numFmtId="181" fontId="0" fillId="0" borderId="0" xfId="0" applyNumberFormat="1">
      <alignment vertical="center"/>
    </xf>
    <xf numFmtId="41" fontId="28" fillId="0" borderId="19" xfId="1" applyFont="1" applyBorder="1">
      <alignment vertical="center"/>
    </xf>
    <xf numFmtId="41" fontId="28" fillId="3" borderId="19" xfId="1" applyFont="1" applyFill="1" applyBorder="1">
      <alignment vertical="center"/>
    </xf>
    <xf numFmtId="41" fontId="28" fillId="6" borderId="19" xfId="1" applyFont="1" applyFill="1" applyBorder="1">
      <alignment vertical="center"/>
    </xf>
    <xf numFmtId="182" fontId="0" fillId="0" borderId="0" xfId="14" applyNumberFormat="1" applyFont="1">
      <alignment vertical="center"/>
    </xf>
    <xf numFmtId="0" fontId="0" fillId="5" borderId="15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41" fontId="0" fillId="5" borderId="16" xfId="1" applyFont="1" applyFill="1" applyBorder="1" applyAlignment="1">
      <alignment horizontal="center" vertical="center"/>
    </xf>
    <xf numFmtId="41" fontId="0" fillId="5" borderId="17" xfId="1" applyFont="1" applyFill="1" applyBorder="1" applyAlignment="1">
      <alignment horizontal="center" vertical="center"/>
    </xf>
    <xf numFmtId="0" fontId="44" fillId="0" borderId="0" xfId="8" applyFont="1" applyAlignment="1">
      <alignment vertical="center"/>
    </xf>
    <xf numFmtId="0" fontId="44" fillId="0" borderId="0" xfId="8" applyFont="1"/>
    <xf numFmtId="41" fontId="45" fillId="0" borderId="0" xfId="10" applyFont="1"/>
    <xf numFmtId="41" fontId="44" fillId="0" borderId="0" xfId="10" applyFont="1"/>
    <xf numFmtId="0" fontId="43" fillId="0" borderId="0" xfId="8" applyFont="1" applyAlignment="1">
      <alignment vertical="center"/>
    </xf>
    <xf numFmtId="0" fontId="43" fillId="0" borderId="0" xfId="11" applyFont="1" applyAlignment="1">
      <alignment vertical="center"/>
    </xf>
    <xf numFmtId="0" fontId="43" fillId="0" borderId="0" xfId="8" applyFont="1"/>
    <xf numFmtId="0" fontId="46" fillId="0" borderId="0" xfId="8" applyFont="1"/>
    <xf numFmtId="41" fontId="43" fillId="0" borderId="0" xfId="8" applyNumberFormat="1" applyFont="1"/>
    <xf numFmtId="0" fontId="41" fillId="5" borderId="15" xfId="11" applyFont="1" applyFill="1" applyBorder="1" applyAlignment="1">
      <alignment horizontal="center" vertical="center" wrapText="1"/>
    </xf>
    <xf numFmtId="180" fontId="41" fillId="5" borderId="17" xfId="11" applyNumberFormat="1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8" fillId="2" borderId="5" xfId="2" applyNumberFormat="1" applyFont="1" applyFill="1" applyBorder="1" applyAlignment="1">
      <alignment horizontal="center" vertical="center" wrapText="1"/>
    </xf>
    <xf numFmtId="0" fontId="8" fillId="2" borderId="0" xfId="2" applyNumberFormat="1" applyFont="1" applyFill="1" applyBorder="1" applyAlignment="1">
      <alignment horizontal="center" vertical="center" wrapText="1"/>
    </xf>
    <xf numFmtId="0" fontId="8" fillId="2" borderId="6" xfId="2" applyNumberFormat="1" applyFont="1" applyFill="1" applyBorder="1" applyAlignment="1">
      <alignment horizontal="center" vertical="center" wrapText="1"/>
    </xf>
    <xf numFmtId="176" fontId="9" fillId="2" borderId="5" xfId="2" applyNumberFormat="1" applyFont="1" applyFill="1" applyBorder="1" applyAlignment="1">
      <alignment horizontal="center" vertical="center" wrapText="1"/>
    </xf>
    <xf numFmtId="176" fontId="9" fillId="2" borderId="0" xfId="2" applyNumberFormat="1" applyFont="1" applyFill="1" applyBorder="1" applyAlignment="1">
      <alignment horizontal="center" vertical="center" wrapText="1"/>
    </xf>
    <xf numFmtId="176" fontId="9" fillId="2" borderId="6" xfId="2" applyNumberFormat="1" applyFont="1" applyFill="1" applyBorder="1" applyAlignment="1">
      <alignment horizontal="center" vertical="center" wrapText="1"/>
    </xf>
    <xf numFmtId="3" fontId="10" fillId="2" borderId="5" xfId="2" applyNumberFormat="1" applyFont="1" applyFill="1" applyBorder="1" applyAlignment="1">
      <alignment horizontal="center" vertical="center"/>
    </xf>
    <xf numFmtId="3" fontId="10" fillId="2" borderId="0" xfId="2" applyNumberFormat="1" applyFont="1" applyFill="1" applyBorder="1" applyAlignment="1">
      <alignment horizontal="center" vertical="center"/>
    </xf>
    <xf numFmtId="3" fontId="10" fillId="2" borderId="6" xfId="2" applyNumberFormat="1" applyFont="1" applyFill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16" fillId="3" borderId="10" xfId="0" applyFont="1" applyFill="1" applyBorder="1" applyAlignment="1">
      <alignment horizontal="left" vertical="center" indent="1"/>
    </xf>
    <xf numFmtId="0" fontId="16" fillId="3" borderId="11" xfId="0" applyFont="1" applyFill="1" applyBorder="1" applyAlignment="1">
      <alignment horizontal="left" vertical="center" indent="1"/>
    </xf>
    <xf numFmtId="0" fontId="16" fillId="3" borderId="24" xfId="0" applyFont="1" applyFill="1" applyBorder="1" applyAlignment="1">
      <alignment horizontal="left" vertical="center" indent="1"/>
    </xf>
    <xf numFmtId="0" fontId="28" fillId="4" borderId="16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0" fillId="5" borderId="10" xfId="0" applyFill="1" applyBorder="1" applyAlignment="1">
      <alignment horizontal="left" vertical="center" wrapText="1"/>
    </xf>
    <xf numFmtId="0" fontId="0" fillId="5" borderId="11" xfId="0" applyFill="1" applyBorder="1" applyAlignment="1">
      <alignment horizontal="left" vertical="center" wrapText="1"/>
    </xf>
    <xf numFmtId="0" fontId="0" fillId="5" borderId="24" xfId="0" applyFill="1" applyBorder="1" applyAlignment="1">
      <alignment horizontal="left" vertical="center" wrapText="1"/>
    </xf>
    <xf numFmtId="0" fontId="0" fillId="5" borderId="10" xfId="0" applyFill="1" applyBorder="1" applyAlignment="1">
      <alignment horizontal="left" vertical="center"/>
    </xf>
    <xf numFmtId="0" fontId="0" fillId="5" borderId="11" xfId="0" applyFill="1" applyBorder="1" applyAlignment="1">
      <alignment horizontal="left" vertical="center"/>
    </xf>
    <xf numFmtId="0" fontId="0" fillId="5" borderId="24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5" borderId="15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41" fontId="0" fillId="5" borderId="16" xfId="1" applyFont="1" applyFill="1" applyBorder="1" applyAlignment="1">
      <alignment horizontal="center" vertical="center"/>
    </xf>
    <xf numFmtId="41" fontId="0" fillId="5" borderId="17" xfId="1" applyFont="1" applyFill="1" applyBorder="1" applyAlignment="1">
      <alignment horizontal="center" vertical="center"/>
    </xf>
    <xf numFmtId="41" fontId="11" fillId="0" borderId="19" xfId="1" applyFont="1" applyBorder="1" applyAlignment="1">
      <alignment horizontal="center" vertical="center"/>
    </xf>
    <xf numFmtId="41" fontId="21" fillId="0" borderId="20" xfId="1" applyFont="1" applyBorder="1" applyAlignment="1">
      <alignment horizontal="center" vertical="center"/>
    </xf>
    <xf numFmtId="41" fontId="21" fillId="0" borderId="19" xfId="1" applyFont="1" applyBorder="1" applyAlignment="1">
      <alignment horizontal="center" vertical="center"/>
    </xf>
    <xf numFmtId="41" fontId="21" fillId="0" borderId="22" xfId="1" applyFont="1" applyBorder="1" applyAlignment="1">
      <alignment horizontal="center" vertical="center"/>
    </xf>
    <xf numFmtId="41" fontId="21" fillId="0" borderId="23" xfId="1" applyFont="1" applyBorder="1" applyAlignment="1">
      <alignment horizontal="center" vertical="center"/>
    </xf>
    <xf numFmtId="41" fontId="0" fillId="0" borderId="19" xfId="1" applyFont="1" applyBorder="1" applyAlignment="1">
      <alignment horizontal="left" vertical="center"/>
    </xf>
    <xf numFmtId="41" fontId="0" fillId="0" borderId="19" xfId="1" applyFont="1" applyBorder="1" applyAlignment="1">
      <alignment horizontal="right" vertical="center" indent="11"/>
    </xf>
    <xf numFmtId="41" fontId="0" fillId="0" borderId="22" xfId="1" applyFont="1" applyBorder="1" applyAlignment="1">
      <alignment horizontal="right" vertical="center" indent="11"/>
    </xf>
    <xf numFmtId="178" fontId="0" fillId="0" borderId="19" xfId="1" applyNumberFormat="1" applyFont="1" applyBorder="1" applyAlignment="1">
      <alignment horizontal="center" vertical="center"/>
    </xf>
    <xf numFmtId="178" fontId="0" fillId="0" borderId="22" xfId="1" applyNumberFormat="1" applyFont="1" applyBorder="1" applyAlignment="1">
      <alignment horizontal="center" vertical="center"/>
    </xf>
    <xf numFmtId="41" fontId="0" fillId="5" borderId="29" xfId="1" applyFont="1" applyFill="1" applyBorder="1" applyAlignment="1">
      <alignment horizontal="center" vertical="center"/>
    </xf>
    <xf numFmtId="41" fontId="0" fillId="5" borderId="9" xfId="1" applyFont="1" applyFill="1" applyBorder="1" applyAlignment="1">
      <alignment horizontal="center" vertical="center"/>
    </xf>
    <xf numFmtId="41" fontId="0" fillId="5" borderId="28" xfId="1" applyFont="1" applyFill="1" applyBorder="1" applyAlignment="1">
      <alignment horizontal="center" vertical="center"/>
    </xf>
    <xf numFmtId="49" fontId="41" fillId="0" borderId="10" xfId="11" applyNumberFormat="1" applyFont="1" applyFill="1" applyBorder="1" applyAlignment="1">
      <alignment horizontal="left" vertical="center" wrapText="1" indent="1"/>
    </xf>
    <xf numFmtId="49" fontId="41" fillId="0" borderId="11" xfId="11" applyNumberFormat="1" applyFont="1" applyFill="1" applyBorder="1" applyAlignment="1">
      <alignment horizontal="left" vertical="center" wrapText="1" indent="1"/>
    </xf>
    <xf numFmtId="49" fontId="41" fillId="0" borderId="24" xfId="11" applyNumberFormat="1" applyFont="1" applyFill="1" applyBorder="1" applyAlignment="1">
      <alignment horizontal="left" vertical="center" wrapText="1" indent="1"/>
    </xf>
    <xf numFmtId="41" fontId="0" fillId="4" borderId="25" xfId="1" applyFont="1" applyFill="1" applyBorder="1" applyAlignment="1">
      <alignment horizontal="center" vertical="center"/>
    </xf>
    <xf numFmtId="41" fontId="0" fillId="4" borderId="24" xfId="1" applyFont="1" applyFill="1" applyBorder="1" applyAlignment="1">
      <alignment horizontal="center" vertical="center"/>
    </xf>
    <xf numFmtId="41" fontId="0" fillId="0" borderId="25" xfId="1" applyFont="1" applyBorder="1" applyAlignment="1">
      <alignment horizontal="center" vertical="center"/>
    </xf>
    <xf numFmtId="41" fontId="0" fillId="0" borderId="24" xfId="1" applyFont="1" applyBorder="1" applyAlignment="1">
      <alignment horizontal="center" vertical="center"/>
    </xf>
    <xf numFmtId="41" fontId="0" fillId="5" borderId="25" xfId="1" applyFont="1" applyFill="1" applyBorder="1" applyAlignment="1">
      <alignment horizontal="center" vertical="center"/>
    </xf>
    <xf numFmtId="41" fontId="0" fillId="5" borderId="12" xfId="1" applyFont="1" applyFill="1" applyBorder="1" applyAlignment="1">
      <alignment horizontal="center" vertical="center"/>
    </xf>
    <xf numFmtId="49" fontId="34" fillId="0" borderId="25" xfId="11" applyNumberFormat="1" applyFont="1" applyFill="1" applyBorder="1" applyAlignment="1">
      <alignment horizontal="center" vertical="center" wrapText="1"/>
    </xf>
    <xf numFmtId="49" fontId="34" fillId="0" borderId="11" xfId="11" applyNumberFormat="1" applyFont="1" applyFill="1" applyBorder="1" applyAlignment="1">
      <alignment horizontal="center" vertical="center" wrapText="1"/>
    </xf>
    <xf numFmtId="49" fontId="34" fillId="0" borderId="24" xfId="11" applyNumberFormat="1" applyFont="1" applyFill="1" applyBorder="1" applyAlignment="1">
      <alignment horizontal="center" vertical="center" wrapText="1"/>
    </xf>
    <xf numFmtId="0" fontId="41" fillId="5" borderId="16" xfId="11" applyFont="1" applyFill="1" applyBorder="1" applyAlignment="1">
      <alignment horizontal="center" vertical="center" wrapText="1"/>
    </xf>
    <xf numFmtId="41" fontId="0" fillId="0" borderId="26" xfId="1" applyFont="1" applyBorder="1" applyAlignment="1">
      <alignment horizontal="center" vertical="center"/>
    </xf>
    <xf numFmtId="41" fontId="0" fillId="0" borderId="27" xfId="1" applyFont="1" applyBorder="1" applyAlignment="1">
      <alignment horizontal="center" vertical="center"/>
    </xf>
    <xf numFmtId="0" fontId="43" fillId="0" borderId="0" xfId="8" applyFont="1" applyBorder="1" applyAlignment="1">
      <alignment horizontal="left" vertical="center" wrapText="1"/>
    </xf>
    <xf numFmtId="0" fontId="42" fillId="0" borderId="13" xfId="8" applyFont="1" applyFill="1" applyBorder="1" applyAlignment="1">
      <alignment horizontal="center" vertical="center"/>
    </xf>
    <xf numFmtId="0" fontId="42" fillId="0" borderId="14" xfId="8" applyFont="1" applyFill="1" applyBorder="1" applyAlignment="1">
      <alignment horizontal="center" vertical="center"/>
    </xf>
    <xf numFmtId="0" fontId="42" fillId="0" borderId="27" xfId="8" applyFont="1" applyFill="1" applyBorder="1" applyAlignment="1">
      <alignment horizontal="center" vertical="center"/>
    </xf>
  </cellXfs>
  <cellStyles count="15">
    <cellStyle name="Comma [0]" xfId="10"/>
    <cellStyle name="백분율" xfId="14" builtinId="5"/>
    <cellStyle name="쉼표 [0]" xfId="1" builtinId="6"/>
    <cellStyle name="쉼표 [0] 2 2" xfId="9"/>
    <cellStyle name="쉼표 [0] 2 3 2" xfId="4"/>
    <cellStyle name="쉼표 [0] 6 11" xfId="13"/>
    <cellStyle name="표준" xfId="0" builtinId="0"/>
    <cellStyle name="표준 2 5 3" xfId="3"/>
    <cellStyle name="표준 27_100625 지정과 통합설계내역서-20100625_2" xfId="12"/>
    <cellStyle name="표준 29" xfId="7"/>
    <cellStyle name="표준 30" xfId="2"/>
    <cellStyle name="표준 32" xfId="6"/>
    <cellStyle name="표준 5" xfId="5"/>
    <cellStyle name="표준_2003 축소편집설계_확정" xfId="8"/>
    <cellStyle name="표준_지오이드모델 결정용 시스템 개발_설계서(2차)" xfId="1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workbookViewId="0">
      <selection activeCell="A4" sqref="A4:I4"/>
    </sheetView>
  </sheetViews>
  <sheetFormatPr defaultRowHeight="16.5"/>
  <cols>
    <col min="1" max="8" width="12" customWidth="1"/>
    <col min="9" max="9" width="20.875" customWidth="1"/>
  </cols>
  <sheetData>
    <row r="1" spans="1:9" ht="17.25" thickBot="1">
      <c r="A1" s="192"/>
      <c r="B1" s="192"/>
      <c r="C1" s="192"/>
      <c r="D1" s="192"/>
      <c r="E1" s="192"/>
      <c r="F1" s="192"/>
      <c r="G1" s="192"/>
      <c r="H1" s="192"/>
      <c r="I1" s="192"/>
    </row>
    <row r="2" spans="1:9" ht="25.5">
      <c r="A2" s="193"/>
      <c r="B2" s="194"/>
      <c r="C2" s="1"/>
      <c r="D2" s="1"/>
      <c r="E2" s="2"/>
      <c r="F2" s="3"/>
      <c r="G2" s="2"/>
      <c r="H2" s="3"/>
      <c r="I2" s="4"/>
    </row>
    <row r="3" spans="1:9" ht="27.75" customHeight="1">
      <c r="A3" s="5"/>
      <c r="B3" s="6"/>
      <c r="C3" s="6"/>
      <c r="D3" s="6"/>
      <c r="E3" s="7"/>
      <c r="F3" s="6"/>
      <c r="G3" s="6"/>
      <c r="H3" s="6"/>
      <c r="I3" s="8"/>
    </row>
    <row r="4" spans="1:9" ht="62.25" customHeight="1">
      <c r="A4" s="195">
        <v>2021</v>
      </c>
      <c r="B4" s="196"/>
      <c r="C4" s="196"/>
      <c r="D4" s="196"/>
      <c r="E4" s="196"/>
      <c r="F4" s="196"/>
      <c r="G4" s="196"/>
      <c r="H4" s="196"/>
      <c r="I4" s="197"/>
    </row>
    <row r="5" spans="1:9" ht="46.5">
      <c r="A5" s="198" t="s">
        <v>0</v>
      </c>
      <c r="B5" s="199"/>
      <c r="C5" s="199"/>
      <c r="D5" s="199"/>
      <c r="E5" s="199"/>
      <c r="F5" s="199"/>
      <c r="G5" s="199"/>
      <c r="H5" s="199"/>
      <c r="I5" s="200"/>
    </row>
    <row r="6" spans="1:9" ht="18.75">
      <c r="A6" s="9"/>
      <c r="B6" s="7"/>
      <c r="C6" s="10"/>
      <c r="D6" s="7"/>
      <c r="E6" s="7"/>
      <c r="F6" s="11"/>
      <c r="G6" s="11"/>
      <c r="H6" s="11"/>
      <c r="I6" s="8"/>
    </row>
    <row r="7" spans="1:9" ht="18.75">
      <c r="A7" s="9"/>
      <c r="B7" s="7"/>
      <c r="C7" s="10"/>
      <c r="D7" s="7"/>
      <c r="E7" s="7"/>
      <c r="F7" s="11"/>
      <c r="G7" s="11"/>
      <c r="H7" s="11"/>
      <c r="I7" s="8"/>
    </row>
    <row r="8" spans="1:9" ht="22.5">
      <c r="A8" s="201" t="s">
        <v>116</v>
      </c>
      <c r="B8" s="202"/>
      <c r="C8" s="202"/>
      <c r="D8" s="202"/>
      <c r="E8" s="202"/>
      <c r="F8" s="202"/>
      <c r="G8" s="202"/>
      <c r="H8" s="202"/>
      <c r="I8" s="203"/>
    </row>
    <row r="9" spans="1:9" ht="25.5">
      <c r="A9" s="9"/>
      <c r="B9" s="7"/>
      <c r="C9" s="10"/>
      <c r="D9" s="7"/>
      <c r="E9" s="7"/>
      <c r="F9" s="12"/>
      <c r="G9" s="11"/>
      <c r="H9" s="11"/>
      <c r="I9" s="8"/>
    </row>
    <row r="10" spans="1:9" ht="25.5">
      <c r="A10" s="9"/>
      <c r="B10" s="7"/>
      <c r="C10" s="10"/>
      <c r="D10" s="7"/>
      <c r="E10" s="7"/>
      <c r="F10" s="12"/>
      <c r="G10" s="11"/>
      <c r="H10" s="11"/>
      <c r="I10" s="8"/>
    </row>
    <row r="11" spans="1:9" ht="18.75">
      <c r="A11" s="9"/>
      <c r="B11" s="7"/>
      <c r="C11" s="13"/>
      <c r="D11" s="7"/>
      <c r="E11" s="7"/>
      <c r="F11" s="11"/>
      <c r="G11" s="11"/>
      <c r="H11" s="11"/>
      <c r="I11" s="8"/>
    </row>
    <row r="12" spans="1:9" ht="18.75">
      <c r="A12" s="9"/>
      <c r="B12" s="7"/>
      <c r="C12" s="13"/>
      <c r="D12" s="7"/>
      <c r="E12" s="7"/>
      <c r="F12" s="11"/>
      <c r="G12" s="11"/>
      <c r="H12" s="11"/>
      <c r="I12" s="8"/>
    </row>
    <row r="13" spans="1:9" ht="18.75">
      <c r="A13" s="9"/>
      <c r="B13" s="7"/>
      <c r="C13" s="13"/>
      <c r="D13" s="7"/>
      <c r="E13" s="7"/>
      <c r="F13" s="11"/>
      <c r="G13" s="11"/>
      <c r="H13" s="11"/>
      <c r="I13" s="8"/>
    </row>
    <row r="14" spans="1:9">
      <c r="A14" s="189" t="s">
        <v>1</v>
      </c>
      <c r="B14" s="190"/>
      <c r="C14" s="190"/>
      <c r="D14" s="190"/>
      <c r="E14" s="190"/>
      <c r="F14" s="190"/>
      <c r="G14" s="190"/>
      <c r="H14" s="190"/>
      <c r="I14" s="191"/>
    </row>
    <row r="15" spans="1:9">
      <c r="A15" s="189"/>
      <c r="B15" s="190"/>
      <c r="C15" s="190"/>
      <c r="D15" s="190"/>
      <c r="E15" s="190"/>
      <c r="F15" s="190"/>
      <c r="G15" s="190"/>
      <c r="H15" s="190"/>
      <c r="I15" s="191"/>
    </row>
    <row r="16" spans="1:9" ht="31.5">
      <c r="A16" s="14"/>
      <c r="B16" s="15"/>
      <c r="C16" s="15"/>
      <c r="D16" s="15"/>
      <c r="E16" s="15"/>
      <c r="F16" s="15"/>
      <c r="G16" s="15"/>
      <c r="H16" s="15"/>
      <c r="I16" s="16"/>
    </row>
    <row r="17" spans="1:9" ht="32.25" thickBot="1">
      <c r="A17" s="17"/>
      <c r="B17" s="18"/>
      <c r="C17" s="18"/>
      <c r="D17" s="18"/>
      <c r="E17" s="18"/>
      <c r="F17" s="18"/>
      <c r="G17" s="18"/>
      <c r="H17" s="18"/>
      <c r="I17" s="19"/>
    </row>
  </sheetData>
  <mergeCells count="6">
    <mergeCell ref="A14:I15"/>
    <mergeCell ref="A1:I1"/>
    <mergeCell ref="A2:B2"/>
    <mergeCell ref="A4:I4"/>
    <mergeCell ref="A5:I5"/>
    <mergeCell ref="A8:I8"/>
  </mergeCells>
  <phoneticPr fontId="2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activeCell="W10" sqref="W10"/>
    </sheetView>
  </sheetViews>
  <sheetFormatPr defaultRowHeight="16.5"/>
  <cols>
    <col min="8" max="8" width="5" customWidth="1"/>
    <col min="9" max="9" width="4.625" customWidth="1"/>
    <col min="10" max="10" width="5.375" customWidth="1"/>
    <col min="11" max="11" width="4.625" customWidth="1"/>
    <col min="12" max="12" width="21.5" bestFit="1" customWidth="1"/>
    <col min="13" max="13" width="4.625" customWidth="1"/>
  </cols>
  <sheetData>
    <row r="1" spans="1:14" ht="27" customHeight="1" thickBot="1"/>
    <row r="2" spans="1:14" ht="120" customHeight="1">
      <c r="A2" s="204" t="s">
        <v>78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6"/>
    </row>
    <row r="3" spans="1:14">
      <c r="A3" s="6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68"/>
    </row>
    <row r="4" spans="1:14">
      <c r="A4" s="6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68"/>
    </row>
    <row r="5" spans="1:14">
      <c r="A5" s="6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68"/>
    </row>
    <row r="6" spans="1:14" s="66" customFormat="1" ht="26.25">
      <c r="A6" s="69"/>
      <c r="B6" s="70" t="s">
        <v>79</v>
      </c>
      <c r="C6" s="141" t="s">
        <v>117</v>
      </c>
      <c r="D6" s="70"/>
      <c r="E6" s="70"/>
      <c r="F6" s="70"/>
      <c r="G6" s="70"/>
      <c r="H6" s="70"/>
      <c r="I6" s="70"/>
      <c r="J6" s="70">
        <v>1</v>
      </c>
      <c r="K6" s="70" t="s">
        <v>8</v>
      </c>
      <c r="L6" s="71">
        <v>92600000</v>
      </c>
      <c r="M6" s="70" t="s">
        <v>77</v>
      </c>
      <c r="N6" s="72"/>
    </row>
    <row r="7" spans="1:14">
      <c r="A7" s="6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68"/>
    </row>
    <row r="8" spans="1:14">
      <c r="A8" s="6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68"/>
    </row>
    <row r="9" spans="1:14">
      <c r="A9" s="6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68"/>
    </row>
    <row r="10" spans="1:14">
      <c r="A10" s="6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68"/>
    </row>
    <row r="11" spans="1:14">
      <c r="A11" s="6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68"/>
    </row>
    <row r="12" spans="1:14" s="65" customFormat="1" ht="26.25">
      <c r="A12" s="73"/>
      <c r="B12" s="207" t="s">
        <v>80</v>
      </c>
      <c r="C12" s="207"/>
      <c r="D12" s="74"/>
      <c r="E12" s="74"/>
      <c r="F12" s="74"/>
      <c r="G12" s="74"/>
      <c r="H12" s="74"/>
      <c r="I12" s="74"/>
      <c r="J12" s="74"/>
      <c r="K12" s="74"/>
      <c r="L12" s="75">
        <f>L6</f>
        <v>92600000</v>
      </c>
      <c r="M12" s="74" t="s">
        <v>77</v>
      </c>
      <c r="N12" s="76"/>
    </row>
    <row r="13" spans="1:14">
      <c r="A13" s="6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68"/>
    </row>
    <row r="14" spans="1:14" s="65" customFormat="1" ht="26.25">
      <c r="A14" s="73"/>
      <c r="B14" s="80" t="s">
        <v>85</v>
      </c>
      <c r="C14" s="80"/>
      <c r="D14" s="80"/>
      <c r="E14" s="80"/>
      <c r="F14" s="80"/>
      <c r="G14" s="80"/>
      <c r="H14" s="74"/>
      <c r="I14" s="74"/>
      <c r="J14" s="74"/>
      <c r="K14" s="74"/>
      <c r="L14" s="74"/>
      <c r="M14" s="74"/>
      <c r="N14" s="76"/>
    </row>
    <row r="15" spans="1:14">
      <c r="A15" s="6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68"/>
    </row>
    <row r="16" spans="1:14" ht="65.25" customHeight="1">
      <c r="A16" s="208" t="s">
        <v>81</v>
      </c>
      <c r="B16" s="209"/>
      <c r="C16" s="209"/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10"/>
    </row>
    <row r="17" spans="1:14" ht="17.25" thickBot="1">
      <c r="A17" s="77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9"/>
    </row>
  </sheetData>
  <mergeCells count="3">
    <mergeCell ref="A2:N2"/>
    <mergeCell ref="B12:C12"/>
    <mergeCell ref="A16:N16"/>
  </mergeCells>
  <phoneticPr fontId="2" type="noConversion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E10" sqref="E10"/>
    </sheetView>
  </sheetViews>
  <sheetFormatPr defaultRowHeight="16.5"/>
  <cols>
    <col min="1" max="1" width="25.375" customWidth="1"/>
    <col min="2" max="2" width="18.5" customWidth="1"/>
    <col min="3" max="3" width="18.5" style="22" customWidth="1"/>
    <col min="4" max="5" width="18.5" customWidth="1"/>
    <col min="6" max="6" width="40.375" customWidth="1"/>
    <col min="7" max="7" width="18.125" style="21" customWidth="1"/>
    <col min="8" max="8" width="18.125" style="21" bestFit="1" customWidth="1"/>
    <col min="9" max="9" width="15.625" style="21" bestFit="1" customWidth="1"/>
    <col min="10" max="10" width="18.125" bestFit="1" customWidth="1"/>
    <col min="11" max="11" width="15.625" bestFit="1" customWidth="1"/>
  </cols>
  <sheetData>
    <row r="1" spans="1:11" s="124" customFormat="1" ht="39" customHeight="1">
      <c r="A1" s="122" t="s">
        <v>2</v>
      </c>
      <c r="B1" s="123" t="s">
        <v>3</v>
      </c>
      <c r="C1" s="123" t="s">
        <v>4</v>
      </c>
      <c r="D1" s="123" t="s">
        <v>5</v>
      </c>
      <c r="E1" s="123" t="s">
        <v>6</v>
      </c>
      <c r="F1" s="121" t="s">
        <v>74</v>
      </c>
      <c r="G1" s="142"/>
      <c r="H1" s="142"/>
      <c r="I1" s="143"/>
      <c r="J1" s="144"/>
      <c r="K1" s="144"/>
    </row>
    <row r="2" spans="1:11" ht="39" customHeight="1">
      <c r="A2" s="211" t="s">
        <v>115</v>
      </c>
      <c r="B2" s="212"/>
      <c r="C2" s="212"/>
      <c r="D2" s="213"/>
      <c r="E2" s="60">
        <f>E3+E4+E8+E9</f>
        <v>0</v>
      </c>
      <c r="F2" s="61"/>
      <c r="G2" s="145"/>
      <c r="H2" s="145"/>
      <c r="I2" s="146"/>
      <c r="J2" s="146"/>
      <c r="K2" s="147"/>
    </row>
    <row r="3" spans="1:11" ht="39" customHeight="1">
      <c r="A3" s="62" t="s">
        <v>7</v>
      </c>
      <c r="B3" s="25" t="s">
        <v>8</v>
      </c>
      <c r="C3" s="56">
        <v>1</v>
      </c>
      <c r="D3" s="25"/>
      <c r="E3" s="20">
        <f>'연구부분 예산설계서'!G4</f>
        <v>0</v>
      </c>
      <c r="F3" s="26"/>
      <c r="G3" s="145"/>
      <c r="H3" s="145"/>
      <c r="I3" s="146"/>
      <c r="J3" s="146"/>
      <c r="K3" s="148"/>
    </row>
    <row r="4" spans="1:11" ht="39" customHeight="1">
      <c r="A4" s="62" t="s">
        <v>9</v>
      </c>
      <c r="B4" s="63"/>
      <c r="C4" s="63"/>
      <c r="D4" s="64"/>
      <c r="E4" s="20">
        <f>'연구부분 예산설계서'!G49</f>
        <v>0</v>
      </c>
      <c r="F4" s="26"/>
      <c r="G4" s="145"/>
      <c r="H4" s="145"/>
      <c r="I4" s="146"/>
      <c r="J4" s="146"/>
      <c r="K4" s="148"/>
    </row>
    <row r="5" spans="1:11" ht="39" customHeight="1">
      <c r="A5" s="130" t="s">
        <v>10</v>
      </c>
      <c r="B5" s="131" t="s">
        <v>8</v>
      </c>
      <c r="C5" s="132">
        <v>1</v>
      </c>
      <c r="D5" s="131"/>
      <c r="E5" s="133">
        <f>'연구부분 예산설계서'!G50</f>
        <v>0</v>
      </c>
      <c r="F5" s="134"/>
      <c r="G5" s="145"/>
      <c r="H5" s="145"/>
      <c r="I5" s="146"/>
      <c r="J5" s="146"/>
      <c r="K5" s="148"/>
    </row>
    <row r="6" spans="1:11" ht="39" customHeight="1">
      <c r="A6" s="130" t="s">
        <v>11</v>
      </c>
      <c r="B6" s="131" t="s">
        <v>8</v>
      </c>
      <c r="C6" s="135">
        <v>1</v>
      </c>
      <c r="D6" s="131"/>
      <c r="E6" s="133">
        <f>'연구부분 예산설계서'!G54</f>
        <v>0</v>
      </c>
      <c r="F6" s="136"/>
      <c r="G6" s="145"/>
      <c r="H6" s="145"/>
      <c r="I6" s="146"/>
      <c r="J6" s="146"/>
      <c r="K6" s="148"/>
    </row>
    <row r="7" spans="1:11" ht="39" customHeight="1">
      <c r="A7" s="130" t="s">
        <v>82</v>
      </c>
      <c r="B7" s="131" t="s">
        <v>8</v>
      </c>
      <c r="C7" s="135">
        <v>1</v>
      </c>
      <c r="D7" s="131"/>
      <c r="E7" s="133">
        <f>'연구부분 예산설계서'!G58</f>
        <v>0</v>
      </c>
      <c r="F7" s="136"/>
      <c r="G7" s="145"/>
      <c r="H7" s="145"/>
      <c r="I7" s="146"/>
      <c r="J7" s="146"/>
      <c r="K7" s="149"/>
    </row>
    <row r="8" spans="1:11" ht="39" customHeight="1">
      <c r="A8" s="24" t="s">
        <v>12</v>
      </c>
      <c r="B8" s="25" t="s">
        <v>8</v>
      </c>
      <c r="C8" s="57">
        <v>1</v>
      </c>
      <c r="D8" s="25"/>
      <c r="E8" s="20">
        <f>'연구부분 예산설계서'!G62</f>
        <v>0</v>
      </c>
      <c r="F8" s="164" t="s">
        <v>13</v>
      </c>
      <c r="G8" s="145"/>
      <c r="H8" s="145"/>
      <c r="I8" s="146"/>
      <c r="J8" s="146"/>
      <c r="K8" s="148"/>
    </row>
    <row r="9" spans="1:11" ht="39" customHeight="1">
      <c r="A9" s="24" t="s">
        <v>14</v>
      </c>
      <c r="B9" s="25" t="s">
        <v>8</v>
      </c>
      <c r="C9" s="57">
        <v>1</v>
      </c>
      <c r="D9" s="25"/>
      <c r="E9" s="20">
        <f>'연구부분 예산설계서'!G63</f>
        <v>0</v>
      </c>
      <c r="F9" s="165" t="s">
        <v>15</v>
      </c>
      <c r="G9" s="145"/>
      <c r="H9" s="145"/>
      <c r="I9" s="146"/>
      <c r="J9" s="148"/>
      <c r="K9" s="148"/>
    </row>
    <row r="10" spans="1:11">
      <c r="G10" s="146"/>
      <c r="H10" s="146"/>
      <c r="I10" s="146"/>
      <c r="J10" s="148"/>
      <c r="K10" s="148"/>
    </row>
    <row r="11" spans="1:11">
      <c r="G11" s="146"/>
      <c r="H11" s="146"/>
      <c r="I11" s="146"/>
      <c r="J11" s="148"/>
      <c r="K11" s="148"/>
    </row>
    <row r="12" spans="1:11">
      <c r="G12" s="146"/>
      <c r="H12" s="146"/>
      <c r="I12" s="146"/>
      <c r="J12" s="148"/>
      <c r="K12" s="148"/>
    </row>
  </sheetData>
  <mergeCells count="1">
    <mergeCell ref="A2:D2"/>
  </mergeCells>
  <phoneticPr fontId="2" type="noConversion"/>
  <pageMargins left="0.70866141732283472" right="0.70866141732283472" top="0.94488188976377963" bottom="0.55118110236220474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tabSelected="1" topLeftCell="A16" workbookViewId="0">
      <selection activeCell="A10" sqref="A10"/>
    </sheetView>
  </sheetViews>
  <sheetFormatPr defaultRowHeight="16.5"/>
  <cols>
    <col min="1" max="1" width="69.875" customWidth="1"/>
    <col min="2" max="2" width="7.125" style="22" bestFit="1" customWidth="1"/>
    <col min="3" max="3" width="5" style="22" bestFit="1" customWidth="1"/>
    <col min="4" max="4" width="2.25" style="112" bestFit="1" customWidth="1"/>
    <col min="5" max="5" width="4.125" style="22" customWidth="1"/>
    <col min="6" max="6" width="10.75" style="21" customWidth="1"/>
    <col min="7" max="7" width="15.625" style="21" bestFit="1" customWidth="1"/>
    <col min="8" max="8" width="9.875" style="34" customWidth="1"/>
    <col min="9" max="9" width="17.25" hidden="1" customWidth="1"/>
    <col min="10" max="10" width="0" hidden="1" customWidth="1"/>
    <col min="11" max="11" width="14.625" hidden="1" customWidth="1"/>
    <col min="12" max="12" width="16.75" hidden="1" customWidth="1"/>
    <col min="13" max="13" width="13.5" hidden="1" customWidth="1"/>
  </cols>
  <sheetData>
    <row r="1" spans="1:13" ht="48" customHeight="1" thickBot="1">
      <c r="A1" s="215" t="s">
        <v>86</v>
      </c>
      <c r="B1" s="216"/>
      <c r="C1" s="216"/>
      <c r="D1" s="216"/>
      <c r="E1" s="216"/>
      <c r="F1" s="216"/>
      <c r="G1" s="216"/>
      <c r="H1" s="216"/>
    </row>
    <row r="2" spans="1:13" s="129" customFormat="1" ht="17.25" customHeight="1">
      <c r="A2" s="125" t="s">
        <v>76</v>
      </c>
      <c r="B2" s="126" t="s">
        <v>3</v>
      </c>
      <c r="C2" s="214" t="s">
        <v>16</v>
      </c>
      <c r="D2" s="214"/>
      <c r="E2" s="214"/>
      <c r="F2" s="127" t="s">
        <v>17</v>
      </c>
      <c r="G2" s="127" t="s">
        <v>18</v>
      </c>
      <c r="H2" s="128" t="s">
        <v>19</v>
      </c>
    </row>
    <row r="3" spans="1:13" ht="16.5" customHeight="1">
      <c r="A3" s="30" t="s">
        <v>75</v>
      </c>
      <c r="B3" s="31"/>
      <c r="C3" s="84"/>
      <c r="D3" s="82"/>
      <c r="E3" s="83"/>
      <c r="F3" s="28"/>
      <c r="G3" s="170">
        <f>SUM(G4+G49+G62+G63)</f>
        <v>0</v>
      </c>
      <c r="H3" s="33"/>
      <c r="I3" s="166">
        <f>G3-92600000</f>
        <v>-92600000</v>
      </c>
      <c r="K3" s="166">
        <f>G3-G4</f>
        <v>0</v>
      </c>
    </row>
    <row r="4" spans="1:13" ht="16.5" customHeight="1">
      <c r="A4" s="35" t="s">
        <v>21</v>
      </c>
      <c r="B4" s="36"/>
      <c r="C4" s="107"/>
      <c r="D4" s="110"/>
      <c r="E4" s="104"/>
      <c r="F4" s="37"/>
      <c r="G4" s="171">
        <f>G5+G14+G27+G40</f>
        <v>0</v>
      </c>
      <c r="H4" s="38"/>
      <c r="K4">
        <v>1</v>
      </c>
      <c r="L4" s="59" t="e">
        <f>(G5/G4)*K3+G5</f>
        <v>#DIV/0!</v>
      </c>
      <c r="M4">
        <v>600</v>
      </c>
    </row>
    <row r="5" spans="1:13" ht="16.5" customHeight="1">
      <c r="A5" s="113" t="s">
        <v>133</v>
      </c>
      <c r="B5" s="114"/>
      <c r="C5" s="115"/>
      <c r="D5" s="116"/>
      <c r="E5" s="117"/>
      <c r="F5" s="118"/>
      <c r="G5" s="172">
        <f>G10+G6</f>
        <v>0</v>
      </c>
      <c r="H5" s="119"/>
      <c r="K5">
        <v>2</v>
      </c>
      <c r="L5" s="59" t="e">
        <f>(G14/G4)*K3+G14</f>
        <v>#DIV/0!</v>
      </c>
      <c r="M5">
        <v>4100</v>
      </c>
    </row>
    <row r="6" spans="1:13" ht="16.5" customHeight="1">
      <c r="A6" s="220" t="s">
        <v>119</v>
      </c>
      <c r="B6" s="221"/>
      <c r="C6" s="221"/>
      <c r="D6" s="221"/>
      <c r="E6" s="221"/>
      <c r="F6" s="222"/>
      <c r="G6" s="87">
        <f>SUM(G7:G9)</f>
        <v>0</v>
      </c>
      <c r="H6" s="33"/>
      <c r="K6">
        <v>3</v>
      </c>
      <c r="L6" s="59" t="e">
        <f>(G27/G4)*K3+G27</f>
        <v>#DIV/0!</v>
      </c>
      <c r="M6">
        <v>3600</v>
      </c>
    </row>
    <row r="7" spans="1:13" ht="16.5" customHeight="1">
      <c r="A7" s="29" t="s">
        <v>22</v>
      </c>
      <c r="B7" s="140" t="s">
        <v>23</v>
      </c>
      <c r="C7" s="139">
        <v>1</v>
      </c>
      <c r="D7" s="137" t="s">
        <v>24</v>
      </c>
      <c r="E7" s="138"/>
      <c r="F7" s="28">
        <v>4598328</v>
      </c>
      <c r="G7" s="168">
        <f>ROUNDDOWN(C7*E7*F7,0)</f>
        <v>0</v>
      </c>
      <c r="H7" s="33"/>
      <c r="I7" s="166">
        <f>(C7*E7*F7)-G7</f>
        <v>0</v>
      </c>
      <c r="K7">
        <v>4</v>
      </c>
      <c r="L7" s="59" t="e">
        <f>(G40/G4)*K3+G40</f>
        <v>#DIV/0!</v>
      </c>
      <c r="M7">
        <v>960</v>
      </c>
    </row>
    <row r="8" spans="1:13" ht="16.5" customHeight="1">
      <c r="A8" s="29" t="s">
        <v>25</v>
      </c>
      <c r="B8" s="140" t="s">
        <v>23</v>
      </c>
      <c r="C8" s="139">
        <v>1</v>
      </c>
      <c r="D8" s="137" t="s">
        <v>24</v>
      </c>
      <c r="E8" s="138"/>
      <c r="F8" s="28">
        <v>3525937</v>
      </c>
      <c r="G8" s="168">
        <f t="shared" ref="G8:G13" si="0">ROUNDDOWN(C8*E8*F8,0)</f>
        <v>0</v>
      </c>
      <c r="H8" s="33"/>
      <c r="I8" s="166">
        <f t="shared" ref="I8:I13" si="1">(C8*E8*F8)-G8</f>
        <v>0</v>
      </c>
      <c r="L8" s="59" t="e">
        <f>SUM(L4:L7)</f>
        <v>#DIV/0!</v>
      </c>
      <c r="M8" s="59">
        <f>SUM(M4:M7)</f>
        <v>9260</v>
      </c>
    </row>
    <row r="9" spans="1:13" ht="16.5" customHeight="1">
      <c r="A9" s="29" t="s">
        <v>26</v>
      </c>
      <c r="B9" s="140" t="s">
        <v>23</v>
      </c>
      <c r="C9" s="139">
        <v>1</v>
      </c>
      <c r="D9" s="137" t="s">
        <v>24</v>
      </c>
      <c r="E9" s="138"/>
      <c r="F9" s="28">
        <v>2356976</v>
      </c>
      <c r="G9" s="168">
        <f t="shared" si="0"/>
        <v>0</v>
      </c>
      <c r="H9" s="33"/>
      <c r="I9" s="166">
        <f t="shared" si="1"/>
        <v>0</v>
      </c>
    </row>
    <row r="10" spans="1:13" ht="16.5" customHeight="1">
      <c r="A10" s="85" t="s">
        <v>88</v>
      </c>
      <c r="B10" s="86"/>
      <c r="C10" s="90"/>
      <c r="D10" s="91"/>
      <c r="E10" s="92"/>
      <c r="F10" s="87"/>
      <c r="G10" s="87">
        <f>SUM(G11:G13)</f>
        <v>0</v>
      </c>
      <c r="H10" s="33"/>
    </row>
    <row r="11" spans="1:13" ht="16.5" customHeight="1">
      <c r="A11" s="29" t="s">
        <v>22</v>
      </c>
      <c r="B11" s="31" t="s">
        <v>23</v>
      </c>
      <c r="C11" s="84">
        <v>1</v>
      </c>
      <c r="D11" s="82" t="s">
        <v>24</v>
      </c>
      <c r="E11" s="83"/>
      <c r="F11" s="28">
        <v>4598328</v>
      </c>
      <c r="G11" s="168">
        <f t="shared" si="0"/>
        <v>0</v>
      </c>
      <c r="H11" s="33"/>
      <c r="I11" s="166">
        <f t="shared" si="1"/>
        <v>0</v>
      </c>
      <c r="K11">
        <v>1</v>
      </c>
      <c r="L11" s="59" t="e">
        <f>(G5/G3)*K3+G5</f>
        <v>#DIV/0!</v>
      </c>
    </row>
    <row r="12" spans="1:13" ht="16.5" customHeight="1">
      <c r="A12" s="29" t="s">
        <v>25</v>
      </c>
      <c r="B12" s="31" t="s">
        <v>23</v>
      </c>
      <c r="C12" s="84">
        <v>1</v>
      </c>
      <c r="D12" s="82" t="s">
        <v>24</v>
      </c>
      <c r="E12" s="83"/>
      <c r="F12" s="28">
        <v>3525937</v>
      </c>
      <c r="G12" s="168">
        <f t="shared" si="0"/>
        <v>0</v>
      </c>
      <c r="H12" s="33"/>
      <c r="I12" s="166">
        <f t="shared" si="1"/>
        <v>0</v>
      </c>
      <c r="L12" s="59" t="e">
        <f>(G14/G3)*K3+G14</f>
        <v>#DIV/0!</v>
      </c>
    </row>
    <row r="13" spans="1:13" ht="16.5" customHeight="1">
      <c r="A13" s="29" t="s">
        <v>26</v>
      </c>
      <c r="B13" s="31" t="s">
        <v>23</v>
      </c>
      <c r="C13" s="84">
        <v>1</v>
      </c>
      <c r="D13" s="82" t="s">
        <v>24</v>
      </c>
      <c r="E13" s="83"/>
      <c r="F13" s="28">
        <v>2356976</v>
      </c>
      <c r="G13" s="168">
        <f t="shared" si="0"/>
        <v>0</v>
      </c>
      <c r="H13" s="33"/>
      <c r="I13" s="166">
        <f t="shared" si="1"/>
        <v>0</v>
      </c>
      <c r="L13" s="59" t="e">
        <f>(G27/G3)*K3+G27</f>
        <v>#DIV/0!</v>
      </c>
    </row>
    <row r="14" spans="1:13" ht="16.5" customHeight="1">
      <c r="A14" s="120" t="s">
        <v>134</v>
      </c>
      <c r="B14" s="114"/>
      <c r="C14" s="115"/>
      <c r="D14" s="116"/>
      <c r="E14" s="117"/>
      <c r="F14" s="118"/>
      <c r="G14" s="172">
        <f>G15+G19+G23</f>
        <v>0</v>
      </c>
      <c r="H14" s="119"/>
      <c r="L14" s="59" t="e">
        <f>(G40/G3)*K3+G40</f>
        <v>#DIV/0!</v>
      </c>
    </row>
    <row r="15" spans="1:13" ht="17.25" customHeight="1">
      <c r="A15" s="85" t="s">
        <v>89</v>
      </c>
      <c r="B15" s="100"/>
      <c r="C15" s="101"/>
      <c r="D15" s="102"/>
      <c r="E15" s="103"/>
      <c r="F15" s="87"/>
      <c r="G15" s="87">
        <f>SUM(G16:G18)</f>
        <v>0</v>
      </c>
      <c r="H15" s="33"/>
      <c r="L15" s="59" t="e">
        <f>SUM(L11:L14)</f>
        <v>#DIV/0!</v>
      </c>
    </row>
    <row r="16" spans="1:13" ht="16.5" customHeight="1">
      <c r="A16" s="29" t="s">
        <v>22</v>
      </c>
      <c r="B16" s="140" t="s">
        <v>23</v>
      </c>
      <c r="C16" s="139">
        <v>1</v>
      </c>
      <c r="D16" s="137" t="s">
        <v>24</v>
      </c>
      <c r="E16" s="138"/>
      <c r="F16" s="28">
        <v>4598328</v>
      </c>
      <c r="G16" s="168">
        <f t="shared" ref="G16:G18" si="2">ROUNDDOWN(C16*E16*F16,0)</f>
        <v>0</v>
      </c>
      <c r="H16" s="33"/>
      <c r="I16" s="166">
        <f t="shared" ref="I16:I18" si="3">(C16*E16*F16)-G16</f>
        <v>0</v>
      </c>
    </row>
    <row r="17" spans="1:9" ht="16.5" customHeight="1">
      <c r="A17" s="29" t="s">
        <v>25</v>
      </c>
      <c r="B17" s="140" t="s">
        <v>23</v>
      </c>
      <c r="C17" s="139">
        <v>1</v>
      </c>
      <c r="D17" s="137" t="s">
        <v>24</v>
      </c>
      <c r="E17" s="138"/>
      <c r="F17" s="28">
        <v>3525937</v>
      </c>
      <c r="G17" s="168">
        <f t="shared" si="2"/>
        <v>0</v>
      </c>
      <c r="H17" s="33"/>
      <c r="I17" s="166">
        <f t="shared" si="3"/>
        <v>0</v>
      </c>
    </row>
    <row r="18" spans="1:9" ht="16.5" customHeight="1">
      <c r="A18" s="29" t="s">
        <v>26</v>
      </c>
      <c r="B18" s="140" t="s">
        <v>23</v>
      </c>
      <c r="C18" s="139">
        <v>1</v>
      </c>
      <c r="D18" s="137" t="s">
        <v>24</v>
      </c>
      <c r="E18" s="138"/>
      <c r="F18" s="28">
        <v>2356976</v>
      </c>
      <c r="G18" s="168">
        <f t="shared" si="2"/>
        <v>0</v>
      </c>
      <c r="H18" s="33"/>
      <c r="I18" s="166">
        <f t="shared" si="3"/>
        <v>0</v>
      </c>
    </row>
    <row r="19" spans="1:9" ht="17.25" customHeight="1">
      <c r="A19" s="85" t="s">
        <v>90</v>
      </c>
      <c r="B19" s="100"/>
      <c r="C19" s="101"/>
      <c r="D19" s="102"/>
      <c r="E19" s="103"/>
      <c r="F19" s="87"/>
      <c r="G19" s="87">
        <f>SUM(G20:G22)</f>
        <v>0</v>
      </c>
      <c r="H19" s="33"/>
    </row>
    <row r="20" spans="1:9" ht="16.5" customHeight="1">
      <c r="A20" s="29" t="s">
        <v>22</v>
      </c>
      <c r="B20" s="31" t="s">
        <v>23</v>
      </c>
      <c r="C20" s="84">
        <v>1</v>
      </c>
      <c r="D20" s="82" t="s">
        <v>24</v>
      </c>
      <c r="E20" s="83"/>
      <c r="F20" s="28">
        <v>4598328</v>
      </c>
      <c r="G20" s="168">
        <f t="shared" ref="G20:G22" si="4">ROUNDDOWN(C20*E20*F20,0)</f>
        <v>0</v>
      </c>
      <c r="H20" s="33"/>
      <c r="I20" s="166">
        <f t="shared" ref="I20:I22" si="5">(C20*E20*F20)-G20</f>
        <v>0</v>
      </c>
    </row>
    <row r="21" spans="1:9" ht="16.5" customHeight="1">
      <c r="A21" s="29" t="s">
        <v>25</v>
      </c>
      <c r="B21" s="31" t="s">
        <v>23</v>
      </c>
      <c r="C21" s="84">
        <v>1</v>
      </c>
      <c r="D21" s="82" t="s">
        <v>24</v>
      </c>
      <c r="E21" s="83"/>
      <c r="F21" s="28">
        <v>3525937</v>
      </c>
      <c r="G21" s="168">
        <f t="shared" si="4"/>
        <v>0</v>
      </c>
      <c r="H21" s="33"/>
      <c r="I21" s="166">
        <f t="shared" si="5"/>
        <v>0</v>
      </c>
    </row>
    <row r="22" spans="1:9" ht="16.5" customHeight="1">
      <c r="A22" s="29" t="s">
        <v>26</v>
      </c>
      <c r="B22" s="140" t="s">
        <v>23</v>
      </c>
      <c r="C22" s="139">
        <v>1</v>
      </c>
      <c r="D22" s="137" t="s">
        <v>24</v>
      </c>
      <c r="E22" s="138"/>
      <c r="F22" s="28">
        <v>2356976</v>
      </c>
      <c r="G22" s="168">
        <f t="shared" si="4"/>
        <v>0</v>
      </c>
      <c r="H22" s="33"/>
      <c r="I22" s="166">
        <f t="shared" si="5"/>
        <v>0</v>
      </c>
    </row>
    <row r="23" spans="1:9" ht="17.25" customHeight="1">
      <c r="A23" s="85" t="s">
        <v>91</v>
      </c>
      <c r="B23" s="100"/>
      <c r="C23" s="101"/>
      <c r="D23" s="102"/>
      <c r="E23" s="103"/>
      <c r="F23" s="87"/>
      <c r="G23" s="87">
        <f>SUM(G24:G26)</f>
        <v>0</v>
      </c>
      <c r="H23" s="33"/>
    </row>
    <row r="24" spans="1:9" ht="16.5" customHeight="1">
      <c r="A24" s="29" t="s">
        <v>22</v>
      </c>
      <c r="B24" s="140" t="s">
        <v>23</v>
      </c>
      <c r="C24" s="139">
        <v>1</v>
      </c>
      <c r="D24" s="137" t="s">
        <v>24</v>
      </c>
      <c r="E24" s="138"/>
      <c r="F24" s="28">
        <v>4598328</v>
      </c>
      <c r="G24" s="168">
        <f t="shared" ref="G24:G26" si="6">ROUNDDOWN(C24*E24*F24,0)</f>
        <v>0</v>
      </c>
      <c r="H24" s="33"/>
      <c r="I24" s="166">
        <f t="shared" ref="I24:I26" si="7">(C24*E24*F24)-G24</f>
        <v>0</v>
      </c>
    </row>
    <row r="25" spans="1:9" ht="16.5" customHeight="1">
      <c r="A25" s="29" t="s">
        <v>25</v>
      </c>
      <c r="B25" s="140" t="s">
        <v>23</v>
      </c>
      <c r="C25" s="139">
        <v>1</v>
      </c>
      <c r="D25" s="137" t="s">
        <v>24</v>
      </c>
      <c r="E25" s="138"/>
      <c r="F25" s="28">
        <v>3525937</v>
      </c>
      <c r="G25" s="168">
        <f t="shared" si="6"/>
        <v>0</v>
      </c>
      <c r="H25" s="33"/>
      <c r="I25" s="166">
        <f t="shared" si="7"/>
        <v>0</v>
      </c>
    </row>
    <row r="26" spans="1:9" ht="16.5" customHeight="1">
      <c r="A26" s="29" t="s">
        <v>26</v>
      </c>
      <c r="B26" s="140" t="s">
        <v>23</v>
      </c>
      <c r="C26" s="139">
        <v>1</v>
      </c>
      <c r="D26" s="137" t="s">
        <v>24</v>
      </c>
      <c r="E26" s="138"/>
      <c r="F26" s="28">
        <v>2356976</v>
      </c>
      <c r="G26" s="168">
        <f t="shared" si="6"/>
        <v>0</v>
      </c>
      <c r="H26" s="33"/>
      <c r="I26" s="166">
        <f t="shared" si="7"/>
        <v>0</v>
      </c>
    </row>
    <row r="27" spans="1:9" ht="16.5" customHeight="1">
      <c r="A27" s="120" t="s">
        <v>131</v>
      </c>
      <c r="B27" s="114"/>
      <c r="C27" s="115"/>
      <c r="D27" s="116"/>
      <c r="E27" s="117"/>
      <c r="F27" s="118"/>
      <c r="G27" s="172">
        <f>G28+G32+G36</f>
        <v>0</v>
      </c>
      <c r="H27" s="119"/>
    </row>
    <row r="28" spans="1:9" ht="16.5" customHeight="1">
      <c r="A28" s="217" t="s">
        <v>118</v>
      </c>
      <c r="B28" s="218"/>
      <c r="C28" s="218"/>
      <c r="D28" s="218"/>
      <c r="E28" s="218"/>
      <c r="F28" s="219"/>
      <c r="G28" s="87">
        <f>SUM(G29:G31)</f>
        <v>0</v>
      </c>
      <c r="H28" s="33"/>
    </row>
    <row r="29" spans="1:9" ht="16.5" customHeight="1">
      <c r="A29" s="29" t="s">
        <v>22</v>
      </c>
      <c r="B29" s="99" t="s">
        <v>23</v>
      </c>
      <c r="C29" s="98">
        <v>1</v>
      </c>
      <c r="D29" s="96" t="s">
        <v>24</v>
      </c>
      <c r="E29" s="97"/>
      <c r="F29" s="28">
        <v>4598328</v>
      </c>
      <c r="G29" s="168">
        <f t="shared" ref="G29:G31" si="8">ROUNDDOWN(C29*E29*F29,0)</f>
        <v>0</v>
      </c>
      <c r="H29" s="33"/>
      <c r="I29" s="166">
        <f t="shared" ref="I29:I31" si="9">(C29*E29*F29)-G29</f>
        <v>0</v>
      </c>
    </row>
    <row r="30" spans="1:9" ht="16.5" customHeight="1">
      <c r="A30" s="29" t="s">
        <v>25</v>
      </c>
      <c r="B30" s="99" t="s">
        <v>23</v>
      </c>
      <c r="C30" s="98">
        <v>1</v>
      </c>
      <c r="D30" s="96" t="s">
        <v>24</v>
      </c>
      <c r="E30" s="97"/>
      <c r="F30" s="28">
        <v>3525937</v>
      </c>
      <c r="G30" s="168">
        <f t="shared" si="8"/>
        <v>0</v>
      </c>
      <c r="H30" s="33"/>
      <c r="I30" s="166">
        <f t="shared" si="9"/>
        <v>0</v>
      </c>
    </row>
    <row r="31" spans="1:9" ht="16.5" customHeight="1">
      <c r="A31" s="29" t="s">
        <v>87</v>
      </c>
      <c r="B31" s="99" t="s">
        <v>23</v>
      </c>
      <c r="C31" s="98">
        <v>1</v>
      </c>
      <c r="D31" s="96" t="s">
        <v>24</v>
      </c>
      <c r="E31" s="97"/>
      <c r="F31" s="28">
        <v>2356976</v>
      </c>
      <c r="G31" s="168">
        <f t="shared" si="8"/>
        <v>0</v>
      </c>
      <c r="H31" s="33"/>
      <c r="I31" s="166">
        <f t="shared" si="9"/>
        <v>0</v>
      </c>
    </row>
    <row r="32" spans="1:9" ht="16.5" customHeight="1">
      <c r="A32" s="85" t="s">
        <v>92</v>
      </c>
      <c r="B32" s="100"/>
      <c r="C32" s="101"/>
      <c r="D32" s="102"/>
      <c r="E32" s="103"/>
      <c r="F32" s="87"/>
      <c r="G32" s="87">
        <f>SUM(G33:G35)</f>
        <v>0</v>
      </c>
      <c r="H32" s="33"/>
    </row>
    <row r="33" spans="1:11" ht="16.5" customHeight="1">
      <c r="A33" s="29" t="s">
        <v>22</v>
      </c>
      <c r="B33" s="99" t="s">
        <v>23</v>
      </c>
      <c r="C33" s="98">
        <v>1</v>
      </c>
      <c r="D33" s="96" t="s">
        <v>24</v>
      </c>
      <c r="E33" s="97"/>
      <c r="F33" s="28">
        <v>4598328</v>
      </c>
      <c r="G33" s="168">
        <f t="shared" ref="G33:G35" si="10">ROUNDDOWN(C33*E33*F33,0)</f>
        <v>0</v>
      </c>
      <c r="H33" s="33"/>
      <c r="I33" s="166">
        <f t="shared" ref="I33:I35" si="11">(C33*E33*F33)-G33</f>
        <v>0</v>
      </c>
    </row>
    <row r="34" spans="1:11" ht="16.5" customHeight="1">
      <c r="A34" s="29" t="s">
        <v>25</v>
      </c>
      <c r="B34" s="99" t="s">
        <v>23</v>
      </c>
      <c r="C34" s="98">
        <v>1</v>
      </c>
      <c r="D34" s="96" t="s">
        <v>24</v>
      </c>
      <c r="E34" s="97"/>
      <c r="F34" s="28">
        <v>3525937</v>
      </c>
      <c r="G34" s="168">
        <f t="shared" si="10"/>
        <v>0</v>
      </c>
      <c r="H34" s="33"/>
      <c r="I34" s="169"/>
    </row>
    <row r="35" spans="1:11" ht="16.5" customHeight="1">
      <c r="A35" s="29" t="s">
        <v>26</v>
      </c>
      <c r="B35" s="99" t="s">
        <v>23</v>
      </c>
      <c r="C35" s="98">
        <v>1</v>
      </c>
      <c r="D35" s="96" t="s">
        <v>24</v>
      </c>
      <c r="E35" s="97"/>
      <c r="F35" s="28">
        <v>2356976</v>
      </c>
      <c r="G35" s="168">
        <f t="shared" si="10"/>
        <v>0</v>
      </c>
      <c r="H35" s="33"/>
      <c r="I35" s="166">
        <f t="shared" si="11"/>
        <v>0</v>
      </c>
    </row>
    <row r="36" spans="1:11" ht="16.5" customHeight="1">
      <c r="A36" s="85" t="s">
        <v>93</v>
      </c>
      <c r="B36" s="100"/>
      <c r="C36" s="101"/>
      <c r="D36" s="102"/>
      <c r="E36" s="103"/>
      <c r="F36" s="87"/>
      <c r="G36" s="87">
        <f>SUM(G37:G39)</f>
        <v>0</v>
      </c>
      <c r="H36" s="33"/>
    </row>
    <row r="37" spans="1:11" ht="16.5" customHeight="1">
      <c r="A37" s="29" t="s">
        <v>22</v>
      </c>
      <c r="B37" s="31" t="s">
        <v>23</v>
      </c>
      <c r="C37" s="84">
        <v>1</v>
      </c>
      <c r="D37" s="82" t="s">
        <v>24</v>
      </c>
      <c r="E37" s="83"/>
      <c r="F37" s="28">
        <v>4598328</v>
      </c>
      <c r="G37" s="168">
        <f t="shared" ref="G37:G39" si="12">ROUNDDOWN(C37*E37*F37,0)</f>
        <v>0</v>
      </c>
      <c r="H37" s="33"/>
      <c r="I37" s="166">
        <f t="shared" ref="I37:I39" si="13">(C37*E37*F37)-G37</f>
        <v>0</v>
      </c>
    </row>
    <row r="38" spans="1:11" ht="16.5" customHeight="1">
      <c r="A38" s="29" t="s">
        <v>25</v>
      </c>
      <c r="B38" s="31" t="s">
        <v>23</v>
      </c>
      <c r="C38" s="84">
        <v>1</v>
      </c>
      <c r="D38" s="82" t="s">
        <v>24</v>
      </c>
      <c r="E38" s="83"/>
      <c r="F38" s="28">
        <v>3525937</v>
      </c>
      <c r="G38" s="168">
        <f t="shared" si="12"/>
        <v>0</v>
      </c>
      <c r="H38" s="33"/>
      <c r="I38" s="166">
        <f t="shared" si="13"/>
        <v>0</v>
      </c>
    </row>
    <row r="39" spans="1:11" ht="16.5" customHeight="1">
      <c r="A39" s="29" t="s">
        <v>26</v>
      </c>
      <c r="B39" s="31" t="s">
        <v>23</v>
      </c>
      <c r="C39" s="84">
        <v>1</v>
      </c>
      <c r="D39" s="82" t="s">
        <v>24</v>
      </c>
      <c r="E39" s="83"/>
      <c r="F39" s="28">
        <v>2356976</v>
      </c>
      <c r="G39" s="168">
        <f t="shared" si="12"/>
        <v>0</v>
      </c>
      <c r="H39" s="33"/>
      <c r="I39" s="166">
        <f t="shared" si="13"/>
        <v>0</v>
      </c>
    </row>
    <row r="40" spans="1:11" ht="16.5" customHeight="1">
      <c r="A40" s="120" t="s">
        <v>132</v>
      </c>
      <c r="B40" s="114"/>
      <c r="C40" s="115"/>
      <c r="D40" s="116"/>
      <c r="E40" s="117"/>
      <c r="F40" s="118"/>
      <c r="G40" s="172">
        <f>G41+G45</f>
        <v>0</v>
      </c>
      <c r="H40" s="119"/>
    </row>
    <row r="41" spans="1:11" ht="16.5" customHeight="1">
      <c r="A41" s="85" t="s">
        <v>120</v>
      </c>
      <c r="B41" s="86"/>
      <c r="C41" s="90"/>
      <c r="D41" s="91"/>
      <c r="E41" s="92"/>
      <c r="F41" s="87"/>
      <c r="G41" s="87">
        <f>SUM(G42:G44)</f>
        <v>0</v>
      </c>
      <c r="H41" s="58"/>
    </row>
    <row r="42" spans="1:11" ht="16.5" customHeight="1">
      <c r="A42" s="29" t="s">
        <v>22</v>
      </c>
      <c r="B42" s="31" t="s">
        <v>23</v>
      </c>
      <c r="C42" s="84">
        <v>1</v>
      </c>
      <c r="D42" s="82" t="s">
        <v>24</v>
      </c>
      <c r="E42" s="83"/>
      <c r="F42" s="28">
        <v>4598328</v>
      </c>
      <c r="G42" s="168">
        <f t="shared" ref="G42:G44" si="14">ROUNDDOWN(C42*E42*F42,0)</f>
        <v>0</v>
      </c>
      <c r="H42" s="33"/>
      <c r="I42" s="166">
        <f t="shared" ref="I42:I44" si="15">(C42*E42*F42)-G42</f>
        <v>0</v>
      </c>
      <c r="K42" s="59"/>
    </row>
    <row r="43" spans="1:11" ht="16.5" customHeight="1">
      <c r="A43" s="29" t="s">
        <v>25</v>
      </c>
      <c r="B43" s="31" t="s">
        <v>23</v>
      </c>
      <c r="C43" s="84">
        <v>1</v>
      </c>
      <c r="D43" s="82" t="s">
        <v>24</v>
      </c>
      <c r="E43" s="83"/>
      <c r="F43" s="28">
        <v>3525937</v>
      </c>
      <c r="G43" s="168">
        <f t="shared" si="14"/>
        <v>0</v>
      </c>
      <c r="H43" s="33"/>
      <c r="I43" s="166">
        <f t="shared" si="15"/>
        <v>0</v>
      </c>
    </row>
    <row r="44" spans="1:11" ht="16.5" customHeight="1">
      <c r="A44" s="29" t="s">
        <v>26</v>
      </c>
      <c r="B44" s="31" t="s">
        <v>23</v>
      </c>
      <c r="C44" s="84">
        <v>1</v>
      </c>
      <c r="D44" s="82" t="s">
        <v>24</v>
      </c>
      <c r="E44" s="83"/>
      <c r="F44" s="28">
        <v>2356976</v>
      </c>
      <c r="G44" s="168">
        <f t="shared" si="14"/>
        <v>0</v>
      </c>
      <c r="H44" s="33"/>
      <c r="I44" s="166">
        <f t="shared" si="15"/>
        <v>0</v>
      </c>
    </row>
    <row r="45" spans="1:11" ht="16.5" customHeight="1">
      <c r="A45" s="85" t="s">
        <v>94</v>
      </c>
      <c r="B45" s="100"/>
      <c r="C45" s="101"/>
      <c r="D45" s="102"/>
      <c r="E45" s="103"/>
      <c r="F45" s="87"/>
      <c r="G45" s="87">
        <f>SUM(G46:G48)</f>
        <v>0</v>
      </c>
      <c r="H45" s="33"/>
    </row>
    <row r="46" spans="1:11" ht="16.5" customHeight="1">
      <c r="A46" s="29" t="s">
        <v>22</v>
      </c>
      <c r="B46" s="99" t="s">
        <v>23</v>
      </c>
      <c r="C46" s="98">
        <v>1</v>
      </c>
      <c r="D46" s="96" t="s">
        <v>24</v>
      </c>
      <c r="E46" s="97"/>
      <c r="F46" s="28">
        <v>4598328</v>
      </c>
      <c r="G46" s="168">
        <f t="shared" ref="G46:G48" si="16">ROUNDDOWN(C46*E46*F46,0)</f>
        <v>0</v>
      </c>
      <c r="H46" s="33"/>
      <c r="I46" s="166">
        <f t="shared" ref="I46:I48" si="17">(C46*E46*F46)-G46</f>
        <v>0</v>
      </c>
    </row>
    <row r="47" spans="1:11" ht="16.5" customHeight="1">
      <c r="A47" s="29" t="s">
        <v>25</v>
      </c>
      <c r="B47" s="99" t="s">
        <v>23</v>
      </c>
      <c r="C47" s="98">
        <v>1</v>
      </c>
      <c r="D47" s="96" t="s">
        <v>24</v>
      </c>
      <c r="E47" s="97"/>
      <c r="F47" s="28">
        <v>3525937</v>
      </c>
      <c r="G47" s="168">
        <f t="shared" si="16"/>
        <v>0</v>
      </c>
      <c r="H47" s="33"/>
      <c r="I47" s="166">
        <f t="shared" si="17"/>
        <v>0</v>
      </c>
    </row>
    <row r="48" spans="1:11" ht="16.5" customHeight="1">
      <c r="A48" s="29" t="s">
        <v>26</v>
      </c>
      <c r="B48" s="99" t="s">
        <v>23</v>
      </c>
      <c r="C48" s="98">
        <v>1</v>
      </c>
      <c r="D48" s="96" t="s">
        <v>24</v>
      </c>
      <c r="E48" s="97"/>
      <c r="F48" s="28">
        <v>2356976</v>
      </c>
      <c r="G48" s="168">
        <f t="shared" si="16"/>
        <v>0</v>
      </c>
      <c r="H48" s="33"/>
      <c r="I48" s="166">
        <f t="shared" si="17"/>
        <v>0</v>
      </c>
    </row>
    <row r="49" spans="1:11" ht="16.5" customHeight="1">
      <c r="A49" s="35" t="s">
        <v>27</v>
      </c>
      <c r="B49" s="36"/>
      <c r="C49" s="107"/>
      <c r="D49" s="110"/>
      <c r="E49" s="104"/>
      <c r="F49" s="37"/>
      <c r="G49" s="171">
        <f>SUM(G50+G54+G58)</f>
        <v>0</v>
      </c>
      <c r="H49" s="39"/>
      <c r="K49" s="166">
        <f>G49+G62+G63</f>
        <v>0</v>
      </c>
    </row>
    <row r="50" spans="1:11" ht="16.5" customHeight="1">
      <c r="A50" s="113" t="s">
        <v>83</v>
      </c>
      <c r="B50" s="114" t="s">
        <v>8</v>
      </c>
      <c r="C50" s="115"/>
      <c r="D50" s="116"/>
      <c r="E50" s="117"/>
      <c r="F50" s="118"/>
      <c r="G50" s="172">
        <f>SUM(G51:G53)</f>
        <v>0</v>
      </c>
      <c r="H50" s="119"/>
    </row>
    <row r="51" spans="1:11" ht="16.5" customHeight="1">
      <c r="A51" s="29" t="s">
        <v>22</v>
      </c>
      <c r="B51" s="31" t="s">
        <v>8</v>
      </c>
      <c r="C51" s="84">
        <v>1</v>
      </c>
      <c r="D51" s="82"/>
      <c r="E51" s="83"/>
      <c r="F51" s="28">
        <f>'연구부분 산출근거 및 단가'!G27</f>
        <v>589000</v>
      </c>
      <c r="G51" s="28"/>
      <c r="H51" s="33"/>
      <c r="I51" s="166">
        <f>(C51*F51)-G51</f>
        <v>589000</v>
      </c>
    </row>
    <row r="52" spans="1:11" ht="16.5" customHeight="1">
      <c r="A52" s="29" t="s">
        <v>25</v>
      </c>
      <c r="B52" s="31" t="s">
        <v>8</v>
      </c>
      <c r="C52" s="84">
        <v>1</v>
      </c>
      <c r="D52" s="82"/>
      <c r="E52" s="83"/>
      <c r="F52" s="28">
        <f>'연구부분 산출근거 및 단가'!G28</f>
        <v>475000</v>
      </c>
      <c r="G52" s="28"/>
      <c r="H52" s="33"/>
      <c r="I52" s="166">
        <f t="shared" ref="I52:I53" si="18">(C52*F52)-G52</f>
        <v>475000</v>
      </c>
    </row>
    <row r="53" spans="1:11" ht="16.5" customHeight="1">
      <c r="A53" s="29" t="s">
        <v>26</v>
      </c>
      <c r="B53" s="31" t="s">
        <v>8</v>
      </c>
      <c r="C53" s="84">
        <v>1</v>
      </c>
      <c r="D53" s="82"/>
      <c r="E53" s="83"/>
      <c r="F53" s="28">
        <f>'연구부분 산출근거 및 단가'!G29</f>
        <v>475000</v>
      </c>
      <c r="G53" s="28"/>
      <c r="H53" s="33"/>
      <c r="I53" s="166">
        <f t="shared" si="18"/>
        <v>475000</v>
      </c>
    </row>
    <row r="54" spans="1:11" ht="16.5" customHeight="1">
      <c r="A54" s="113" t="s">
        <v>84</v>
      </c>
      <c r="B54" s="114"/>
      <c r="C54" s="115"/>
      <c r="D54" s="116"/>
      <c r="E54" s="117"/>
      <c r="F54" s="118"/>
      <c r="G54" s="172">
        <f>SUM(G55:G57)</f>
        <v>0</v>
      </c>
      <c r="H54" s="119"/>
    </row>
    <row r="55" spans="1:11" ht="16.5" customHeight="1">
      <c r="A55" s="29" t="s">
        <v>28</v>
      </c>
      <c r="B55" s="31" t="s">
        <v>29</v>
      </c>
      <c r="C55" s="108">
        <f>'연구부분 산출근거 및 단가'!C37:D37</f>
        <v>4</v>
      </c>
      <c r="D55" s="82" t="s">
        <v>24</v>
      </c>
      <c r="E55" s="105"/>
      <c r="F55" s="28">
        <v>30000</v>
      </c>
      <c r="G55" s="28">
        <f>F55*E55*C55</f>
        <v>0</v>
      </c>
      <c r="H55" s="33"/>
      <c r="I55" s="166">
        <f t="shared" ref="I55:I56" si="19">(C55*E55*F55)-G55</f>
        <v>0</v>
      </c>
    </row>
    <row r="56" spans="1:11" ht="16.5" customHeight="1">
      <c r="A56" s="29" t="s">
        <v>30</v>
      </c>
      <c r="B56" s="31" t="s">
        <v>29</v>
      </c>
      <c r="C56" s="108">
        <f>'연구부분 산출근거 및 단가'!C38:D38</f>
        <v>4</v>
      </c>
      <c r="D56" s="82" t="s">
        <v>24</v>
      </c>
      <c r="E56" s="105"/>
      <c r="F56" s="28">
        <v>150000</v>
      </c>
      <c r="G56" s="28">
        <f t="shared" ref="G56" si="20">F56*E56*C56</f>
        <v>0</v>
      </c>
      <c r="H56" s="33"/>
      <c r="I56" s="166">
        <f t="shared" si="19"/>
        <v>0</v>
      </c>
    </row>
    <row r="57" spans="1:11" ht="16.5" customHeight="1">
      <c r="A57" s="29" t="s">
        <v>31</v>
      </c>
      <c r="B57" s="31" t="s">
        <v>32</v>
      </c>
      <c r="C57" s="84"/>
      <c r="D57" s="82"/>
      <c r="E57" s="105"/>
      <c r="F57" s="28">
        <v>400000</v>
      </c>
      <c r="G57" s="28">
        <f>F57*E57</f>
        <v>0</v>
      </c>
      <c r="H57" s="33"/>
    </row>
    <row r="58" spans="1:11" ht="16.5" customHeight="1">
      <c r="A58" s="113" t="s">
        <v>121</v>
      </c>
      <c r="B58" s="114"/>
      <c r="C58" s="115"/>
      <c r="D58" s="116"/>
      <c r="E58" s="117"/>
      <c r="F58" s="118"/>
      <c r="G58" s="172">
        <f>SUM(G59:G61)</f>
        <v>0</v>
      </c>
      <c r="H58" s="119"/>
    </row>
    <row r="59" spans="1:11" ht="16.5" customHeight="1">
      <c r="A59" s="150" t="s">
        <v>95</v>
      </c>
      <c r="B59" s="31" t="s">
        <v>8</v>
      </c>
      <c r="C59" s="84">
        <v>1</v>
      </c>
      <c r="D59" s="82"/>
      <c r="E59" s="83"/>
      <c r="F59" s="28"/>
      <c r="G59" s="28"/>
      <c r="H59" s="33"/>
    </row>
    <row r="60" spans="1:11" ht="16.5" customHeight="1">
      <c r="A60" s="151" t="s">
        <v>96</v>
      </c>
      <c r="B60" s="31" t="s">
        <v>8</v>
      </c>
      <c r="C60" s="84">
        <v>1</v>
      </c>
      <c r="D60" s="82" t="s">
        <v>98</v>
      </c>
      <c r="E60" s="83"/>
      <c r="F60" s="28">
        <v>200000</v>
      </c>
      <c r="G60" s="28">
        <f>E60*F60</f>
        <v>0</v>
      </c>
      <c r="H60" s="33"/>
      <c r="I60" s="166">
        <f t="shared" ref="I60:I61" si="21">(C60*E60*F60)-G60</f>
        <v>0</v>
      </c>
    </row>
    <row r="61" spans="1:11" ht="16.5" customHeight="1">
      <c r="A61" s="150" t="s">
        <v>97</v>
      </c>
      <c r="B61" s="31" t="s">
        <v>8</v>
      </c>
      <c r="C61" s="84">
        <v>2</v>
      </c>
      <c r="D61" s="82" t="s">
        <v>98</v>
      </c>
      <c r="E61" s="83"/>
      <c r="F61" s="28">
        <v>10000</v>
      </c>
      <c r="G61" s="28">
        <f>SUM(C61*E61*F61)</f>
        <v>0</v>
      </c>
      <c r="H61" s="33"/>
      <c r="I61" s="166">
        <f t="shared" si="21"/>
        <v>0</v>
      </c>
    </row>
    <row r="62" spans="1:11" ht="16.5" customHeight="1">
      <c r="A62" s="35" t="s">
        <v>33</v>
      </c>
      <c r="B62" s="36"/>
      <c r="C62" s="107"/>
      <c r="D62" s="110"/>
      <c r="E62" s="104"/>
      <c r="F62" s="37"/>
      <c r="G62" s="37"/>
      <c r="H62" s="39"/>
      <c r="I62" s="167" t="e">
        <f>G62/(G49+G4)</f>
        <v>#DIV/0!</v>
      </c>
      <c r="K62" s="21">
        <v>3996827</v>
      </c>
    </row>
    <row r="63" spans="1:11" ht="16.5" customHeight="1" thickBot="1">
      <c r="A63" s="40" t="s">
        <v>34</v>
      </c>
      <c r="B63" s="41"/>
      <c r="C63" s="109"/>
      <c r="D63" s="111"/>
      <c r="E63" s="106"/>
      <c r="F63" s="42"/>
      <c r="G63" s="42"/>
      <c r="H63" s="43"/>
      <c r="I63" s="21">
        <f>(G4+G49+G62)*0.1</f>
        <v>0</v>
      </c>
      <c r="J63" s="173" t="e">
        <f>G63/(G62+G49+G4)</f>
        <v>#DIV/0!</v>
      </c>
      <c r="K63" s="21"/>
    </row>
  </sheetData>
  <mergeCells count="4">
    <mergeCell ref="C2:E2"/>
    <mergeCell ref="A1:H1"/>
    <mergeCell ref="A28:F28"/>
    <mergeCell ref="A6:F6"/>
  </mergeCells>
  <phoneticPr fontId="2" type="noConversion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topLeftCell="A31" workbookViewId="0">
      <selection activeCell="K52" sqref="K52"/>
    </sheetView>
  </sheetViews>
  <sheetFormatPr defaultRowHeight="16.5"/>
  <cols>
    <col min="1" max="1" width="2.125" customWidth="1"/>
    <col min="2" max="2" width="21" customWidth="1"/>
    <col min="3" max="8" width="15.75" style="21" customWidth="1"/>
    <col min="9" max="9" width="2.375" customWidth="1"/>
  </cols>
  <sheetData>
    <row r="1" spans="1:9" ht="30" customHeight="1">
      <c r="A1" s="51" t="s">
        <v>126</v>
      </c>
      <c r="B1" s="52"/>
      <c r="C1" s="53"/>
    </row>
    <row r="3" spans="1:9" ht="19.5" customHeight="1">
      <c r="A3" t="s">
        <v>35</v>
      </c>
    </row>
    <row r="4" spans="1:9" ht="19.5" customHeight="1">
      <c r="B4" t="s">
        <v>36</v>
      </c>
    </row>
    <row r="5" spans="1:9" ht="19.5" customHeight="1" thickBot="1">
      <c r="B5" t="s">
        <v>37</v>
      </c>
    </row>
    <row r="6" spans="1:9" ht="15.75" customHeight="1">
      <c r="B6" s="174" t="s">
        <v>127</v>
      </c>
      <c r="C6" s="226" t="s">
        <v>38</v>
      </c>
      <c r="D6" s="226"/>
      <c r="E6" s="226" t="s">
        <v>128</v>
      </c>
      <c r="F6" s="226"/>
      <c r="G6" s="176" t="s">
        <v>39</v>
      </c>
      <c r="H6" s="226" t="s">
        <v>40</v>
      </c>
      <c r="I6" s="227"/>
    </row>
    <row r="7" spans="1:9" ht="15.75" customHeight="1">
      <c r="B7" s="30" t="s">
        <v>41</v>
      </c>
      <c r="C7" s="233">
        <v>3245879</v>
      </c>
      <c r="D7" s="233"/>
      <c r="E7" s="236">
        <v>1.4166666666666667</v>
      </c>
      <c r="F7" s="236"/>
      <c r="G7" s="32">
        <v>4598328</v>
      </c>
      <c r="H7" s="228" t="s">
        <v>42</v>
      </c>
      <c r="I7" s="229"/>
    </row>
    <row r="8" spans="1:9" ht="15.75" customHeight="1">
      <c r="B8" s="30" t="s">
        <v>43</v>
      </c>
      <c r="C8" s="234">
        <v>2488897</v>
      </c>
      <c r="D8" s="234"/>
      <c r="E8" s="236">
        <v>1.4166666666666667</v>
      </c>
      <c r="F8" s="236"/>
      <c r="G8" s="32">
        <v>3525937</v>
      </c>
      <c r="H8" s="230" t="s">
        <v>42</v>
      </c>
      <c r="I8" s="229"/>
    </row>
    <row r="9" spans="1:9" ht="15.75" customHeight="1" thickBot="1">
      <c r="B9" s="50" t="s">
        <v>44</v>
      </c>
      <c r="C9" s="235">
        <v>1663748</v>
      </c>
      <c r="D9" s="235"/>
      <c r="E9" s="237">
        <v>1.4166666666666667</v>
      </c>
      <c r="F9" s="237"/>
      <c r="G9" s="48">
        <v>2356976</v>
      </c>
      <c r="H9" s="231" t="s">
        <v>42</v>
      </c>
      <c r="I9" s="232"/>
    </row>
    <row r="10" spans="1:9">
      <c r="B10" s="44" t="s">
        <v>45</v>
      </c>
      <c r="C10" s="45"/>
      <c r="D10" s="45"/>
      <c r="E10" s="45"/>
      <c r="F10" s="45"/>
      <c r="G10" s="45"/>
      <c r="H10" s="45"/>
      <c r="I10" s="46"/>
    </row>
    <row r="11" spans="1:9" hidden="1"/>
    <row r="12" spans="1:9" ht="18.75" customHeight="1"/>
    <row r="13" spans="1:9" ht="18.75" customHeight="1">
      <c r="A13" t="s">
        <v>46</v>
      </c>
    </row>
    <row r="14" spans="1:9" ht="18.75" customHeight="1">
      <c r="B14" s="223" t="s">
        <v>47</v>
      </c>
      <c r="C14" s="223"/>
      <c r="D14" s="223"/>
      <c r="E14" s="223"/>
      <c r="F14" s="223"/>
      <c r="G14" s="223"/>
      <c r="H14" s="223"/>
    </row>
    <row r="15" spans="1:9" ht="18.75" customHeight="1" thickBot="1">
      <c r="B15" s="23" t="s">
        <v>48</v>
      </c>
      <c r="C15" s="23"/>
      <c r="D15" s="23"/>
      <c r="E15" s="23"/>
      <c r="F15" s="23"/>
      <c r="G15" s="23"/>
      <c r="H15" s="23"/>
    </row>
    <row r="16" spans="1:9" ht="15.75" customHeight="1">
      <c r="B16" s="224" t="s">
        <v>122</v>
      </c>
      <c r="C16" s="238" t="s">
        <v>49</v>
      </c>
      <c r="D16" s="240"/>
      <c r="E16" s="238" t="s">
        <v>50</v>
      </c>
      <c r="F16" s="240"/>
      <c r="G16" s="238" t="s">
        <v>51</v>
      </c>
      <c r="H16" s="239"/>
    </row>
    <row r="17" spans="2:8" ht="15.75" customHeight="1">
      <c r="B17" s="225"/>
      <c r="C17" s="88" t="s">
        <v>52</v>
      </c>
      <c r="D17" s="88" t="s">
        <v>53</v>
      </c>
      <c r="E17" s="88" t="s">
        <v>52</v>
      </c>
      <c r="F17" s="88" t="s">
        <v>53</v>
      </c>
      <c r="G17" s="88" t="s">
        <v>52</v>
      </c>
      <c r="H17" s="89" t="s">
        <v>53</v>
      </c>
    </row>
    <row r="18" spans="2:8" ht="15.75" customHeight="1">
      <c r="B18" s="30" t="s">
        <v>54</v>
      </c>
      <c r="C18" s="32">
        <v>20000</v>
      </c>
      <c r="D18" s="32">
        <v>40000</v>
      </c>
      <c r="E18" s="32">
        <v>20000</v>
      </c>
      <c r="F18" s="32">
        <v>40000</v>
      </c>
      <c r="G18" s="32">
        <v>20000</v>
      </c>
      <c r="H18" s="47">
        <v>40000</v>
      </c>
    </row>
    <row r="19" spans="2:8" ht="15.75" customHeight="1">
      <c r="B19" s="30" t="s">
        <v>55</v>
      </c>
      <c r="C19" s="32">
        <v>25000</v>
      </c>
      <c r="D19" s="32">
        <v>50000</v>
      </c>
      <c r="E19" s="32">
        <v>20000</v>
      </c>
      <c r="F19" s="32">
        <v>40000</v>
      </c>
      <c r="G19" s="32">
        <v>20000</v>
      </c>
      <c r="H19" s="47">
        <v>40000</v>
      </c>
    </row>
    <row r="20" spans="2:8" ht="15.75" customHeight="1">
      <c r="B20" s="30" t="s">
        <v>56</v>
      </c>
      <c r="C20" s="32">
        <v>0</v>
      </c>
      <c r="D20" s="32">
        <v>60000</v>
      </c>
      <c r="E20" s="32">
        <v>0</v>
      </c>
      <c r="F20" s="32">
        <v>50000</v>
      </c>
      <c r="G20" s="32">
        <v>0</v>
      </c>
      <c r="H20" s="47">
        <v>50000</v>
      </c>
    </row>
    <row r="21" spans="2:8" ht="15.75" customHeight="1">
      <c r="B21" s="30" t="s">
        <v>57</v>
      </c>
      <c r="C21" s="32">
        <v>51800</v>
      </c>
      <c r="D21" s="32">
        <v>51800</v>
      </c>
      <c r="E21" s="32">
        <v>37000</v>
      </c>
      <c r="F21" s="32">
        <v>37000</v>
      </c>
      <c r="G21" s="32">
        <v>37000</v>
      </c>
      <c r="H21" s="47">
        <v>37000</v>
      </c>
    </row>
    <row r="22" spans="2:8" ht="15.75" customHeight="1" thickBot="1">
      <c r="B22" s="93" t="s">
        <v>20</v>
      </c>
      <c r="C22" s="94">
        <v>96800</v>
      </c>
      <c r="D22" s="94">
        <v>201800</v>
      </c>
      <c r="E22" s="94">
        <v>77000</v>
      </c>
      <c r="F22" s="94">
        <v>167000</v>
      </c>
      <c r="G22" s="94">
        <v>77000</v>
      </c>
      <c r="H22" s="95">
        <v>167000</v>
      </c>
    </row>
    <row r="23" spans="2:8" ht="24" customHeight="1"/>
    <row r="24" spans="2:8" ht="17.25" thickBot="1">
      <c r="B24" t="s">
        <v>58</v>
      </c>
    </row>
    <row r="25" spans="2:8" ht="15.75" customHeight="1">
      <c r="B25" s="174" t="s">
        <v>122</v>
      </c>
      <c r="C25" s="238" t="s">
        <v>52</v>
      </c>
      <c r="D25" s="240"/>
      <c r="E25" s="176" t="s">
        <v>59</v>
      </c>
      <c r="F25" s="238" t="s">
        <v>60</v>
      </c>
      <c r="G25" s="239"/>
    </row>
    <row r="26" spans="2:8" ht="15.75" customHeight="1">
      <c r="B26" s="175"/>
      <c r="C26" s="88" t="s">
        <v>61</v>
      </c>
      <c r="D26" s="88" t="s">
        <v>62</v>
      </c>
      <c r="E26" s="88" t="s">
        <v>61</v>
      </c>
      <c r="F26" s="248" t="s">
        <v>62</v>
      </c>
      <c r="G26" s="249"/>
    </row>
    <row r="27" spans="2:8" ht="15.75" customHeight="1">
      <c r="B27" s="30" t="s">
        <v>41</v>
      </c>
      <c r="C27" s="32">
        <v>96800</v>
      </c>
      <c r="D27" s="32">
        <v>4</v>
      </c>
      <c r="E27" s="32">
        <v>201800</v>
      </c>
      <c r="F27" s="32">
        <v>1</v>
      </c>
      <c r="G27" s="47">
        <f>SUM(C27*D27)+(E27*F27)</f>
        <v>589000</v>
      </c>
    </row>
    <row r="28" spans="2:8" ht="15.75" customHeight="1">
      <c r="B28" s="30" t="s">
        <v>63</v>
      </c>
      <c r="C28" s="32">
        <v>77000</v>
      </c>
      <c r="D28" s="32">
        <v>4</v>
      </c>
      <c r="E28" s="32">
        <v>167000</v>
      </c>
      <c r="F28" s="32">
        <v>1</v>
      </c>
      <c r="G28" s="47">
        <f>SUM(C28*D28)+(E28*F28)</f>
        <v>475000</v>
      </c>
    </row>
    <row r="29" spans="2:8" ht="15.75" customHeight="1">
      <c r="B29" s="30" t="s">
        <v>44</v>
      </c>
      <c r="C29" s="32">
        <v>77000</v>
      </c>
      <c r="D29" s="32">
        <v>4</v>
      </c>
      <c r="E29" s="32">
        <v>167000</v>
      </c>
      <c r="F29" s="32">
        <v>1</v>
      </c>
      <c r="G29" s="47">
        <f>SUM(C29*D29)+(E29*F29)</f>
        <v>475000</v>
      </c>
    </row>
    <row r="30" spans="2:8" ht="15.75" customHeight="1" thickBot="1">
      <c r="B30" s="93" t="s">
        <v>64</v>
      </c>
      <c r="C30" s="94">
        <v>250800</v>
      </c>
      <c r="D30" s="94"/>
      <c r="E30" s="94">
        <v>535800</v>
      </c>
      <c r="F30" s="94"/>
      <c r="G30" s="95">
        <f>SUM(G27:G29)</f>
        <v>1539000</v>
      </c>
    </row>
    <row r="31" spans="2:8">
      <c r="B31" s="223" t="s">
        <v>123</v>
      </c>
      <c r="C31" s="223"/>
      <c r="D31" s="223"/>
      <c r="E31" s="223"/>
      <c r="F31" s="223"/>
      <c r="G31" s="223"/>
    </row>
    <row r="32" spans="2:8" hidden="1"/>
    <row r="34" spans="1:13" ht="17.25" thickBot="1">
      <c r="B34" t="s">
        <v>65</v>
      </c>
    </row>
    <row r="35" spans="1:13" ht="15.75" customHeight="1">
      <c r="B35" s="174" t="s">
        <v>66</v>
      </c>
      <c r="C35" s="238" t="s">
        <v>67</v>
      </c>
      <c r="D35" s="240"/>
      <c r="E35" s="238" t="s">
        <v>68</v>
      </c>
      <c r="F35" s="240"/>
      <c r="G35" s="176" t="s">
        <v>5</v>
      </c>
      <c r="H35" s="177" t="s">
        <v>69</v>
      </c>
    </row>
    <row r="36" spans="1:13" ht="15.75" customHeight="1">
      <c r="B36" s="81" t="s">
        <v>70</v>
      </c>
      <c r="C36" s="244"/>
      <c r="D36" s="245"/>
      <c r="E36" s="244"/>
      <c r="F36" s="245"/>
      <c r="G36" s="54"/>
      <c r="H36" s="55">
        <f>H37+H38+H39</f>
        <v>4960000</v>
      </c>
    </row>
    <row r="37" spans="1:13" ht="15.75" customHeight="1">
      <c r="B37" s="30" t="s">
        <v>71</v>
      </c>
      <c r="C37" s="246">
        <v>4</v>
      </c>
      <c r="D37" s="247"/>
      <c r="E37" s="246">
        <v>8</v>
      </c>
      <c r="F37" s="247"/>
      <c r="G37" s="32">
        <v>30000</v>
      </c>
      <c r="H37" s="47">
        <f>C37*E37*G37</f>
        <v>960000</v>
      </c>
    </row>
    <row r="38" spans="1:13" ht="15.75" customHeight="1">
      <c r="B38" s="30" t="s">
        <v>72</v>
      </c>
      <c r="C38" s="246">
        <v>4</v>
      </c>
      <c r="D38" s="247"/>
      <c r="E38" s="246">
        <v>6</v>
      </c>
      <c r="F38" s="247"/>
      <c r="G38" s="32">
        <v>150000</v>
      </c>
      <c r="H38" s="47">
        <f>C38*E38*G38</f>
        <v>3600000</v>
      </c>
    </row>
    <row r="39" spans="1:13" ht="15.75" customHeight="1" thickBot="1">
      <c r="B39" s="50" t="s">
        <v>73</v>
      </c>
      <c r="C39" s="254"/>
      <c r="D39" s="255"/>
      <c r="E39" s="254">
        <v>1</v>
      </c>
      <c r="F39" s="255"/>
      <c r="G39" s="48">
        <v>400000</v>
      </c>
      <c r="H39" s="49">
        <f>E39*G39</f>
        <v>400000</v>
      </c>
    </row>
    <row r="40" spans="1:13" s="155" customFormat="1" ht="14.25">
      <c r="A40" s="152"/>
      <c r="B40" s="256" t="s">
        <v>99</v>
      </c>
      <c r="C40" s="256"/>
      <c r="D40" s="256"/>
      <c r="E40" s="256"/>
      <c r="F40" s="256"/>
      <c r="G40" s="163"/>
      <c r="H40" s="153"/>
      <c r="I40" s="154"/>
      <c r="K40" s="156"/>
      <c r="L40" s="157"/>
      <c r="M40" s="157"/>
    </row>
    <row r="41" spans="1:13" s="155" customFormat="1" ht="14.25" customHeight="1">
      <c r="A41" s="152"/>
      <c r="B41" s="256" t="s">
        <v>100</v>
      </c>
      <c r="C41" s="256"/>
      <c r="D41" s="256"/>
      <c r="E41" s="256"/>
      <c r="F41" s="256"/>
      <c r="G41" s="256"/>
      <c r="H41" s="153"/>
      <c r="I41" s="154"/>
      <c r="K41" s="156"/>
      <c r="L41" s="157"/>
      <c r="M41" s="157"/>
    </row>
    <row r="42" spans="1:13" s="179" customFormat="1" ht="21" customHeight="1">
      <c r="A42" s="178"/>
      <c r="B42" s="178" t="s">
        <v>101</v>
      </c>
      <c r="C42" s="178"/>
      <c r="D42" s="178"/>
      <c r="E42" s="178"/>
      <c r="F42" s="178"/>
      <c r="G42" s="178"/>
      <c r="H42" s="178"/>
      <c r="K42" s="180"/>
      <c r="L42" s="181"/>
      <c r="M42" s="181"/>
    </row>
    <row r="43" spans="1:13" s="184" customFormat="1" ht="11.25" customHeight="1" thickBot="1">
      <c r="A43" s="182"/>
      <c r="B43" s="183" t="s">
        <v>102</v>
      </c>
      <c r="C43" s="183"/>
      <c r="D43" s="183"/>
      <c r="E43" s="183"/>
      <c r="F43" s="183"/>
      <c r="G43" s="183"/>
      <c r="H43" s="183"/>
      <c r="I43" s="183"/>
      <c r="K43" s="185"/>
      <c r="M43" s="186"/>
    </row>
    <row r="44" spans="1:13" s="155" customFormat="1" ht="15.75" customHeight="1">
      <c r="A44" s="152"/>
      <c r="B44" s="187" t="s">
        <v>124</v>
      </c>
      <c r="C44" s="253" t="s">
        <v>129</v>
      </c>
      <c r="D44" s="253"/>
      <c r="E44" s="253"/>
      <c r="F44" s="253"/>
      <c r="G44" s="253"/>
      <c r="H44" s="188" t="s">
        <v>130</v>
      </c>
      <c r="L44" s="158"/>
    </row>
    <row r="45" spans="1:13" s="155" customFormat="1" ht="15.75" customHeight="1">
      <c r="B45" s="241" t="s">
        <v>112</v>
      </c>
      <c r="C45" s="242"/>
      <c r="D45" s="242"/>
      <c r="E45" s="242"/>
      <c r="F45" s="242"/>
      <c r="G45" s="243"/>
      <c r="H45" s="159">
        <f>SUM(H46:H48)</f>
        <v>431398</v>
      </c>
    </row>
    <row r="46" spans="1:13" s="155" customFormat="1" ht="15.75" customHeight="1">
      <c r="B46" s="160" t="s">
        <v>103</v>
      </c>
      <c r="C46" s="250" t="s">
        <v>104</v>
      </c>
      <c r="D46" s="251"/>
      <c r="E46" s="251"/>
      <c r="F46" s="251"/>
      <c r="G46" s="252"/>
      <c r="H46" s="161">
        <f>15370*20</f>
        <v>307400</v>
      </c>
    </row>
    <row r="47" spans="1:13" s="155" customFormat="1" ht="15.75" customHeight="1">
      <c r="B47" s="160" t="s">
        <v>105</v>
      </c>
      <c r="C47" s="250" t="s">
        <v>106</v>
      </c>
      <c r="D47" s="251"/>
      <c r="E47" s="251"/>
      <c r="F47" s="251"/>
      <c r="G47" s="252"/>
      <c r="H47" s="161">
        <f>(8180-3470)*18</f>
        <v>84780</v>
      </c>
    </row>
    <row r="48" spans="1:13" s="155" customFormat="1" ht="15.75" customHeight="1">
      <c r="B48" s="160" t="s">
        <v>107</v>
      </c>
      <c r="C48" s="250" t="s">
        <v>108</v>
      </c>
      <c r="D48" s="251"/>
      <c r="E48" s="251"/>
      <c r="F48" s="251"/>
      <c r="G48" s="252"/>
      <c r="H48" s="161">
        <f>((H46+H47)*0.1)</f>
        <v>39218</v>
      </c>
    </row>
    <row r="49" spans="1:8" s="155" customFormat="1" ht="15.75" customHeight="1">
      <c r="B49" s="241" t="s">
        <v>113</v>
      </c>
      <c r="C49" s="242"/>
      <c r="D49" s="242"/>
      <c r="E49" s="242"/>
      <c r="F49" s="242"/>
      <c r="G49" s="243"/>
      <c r="H49" s="159">
        <f>SUM(H50:H52)</f>
        <v>493570</v>
      </c>
    </row>
    <row r="50" spans="1:8" s="155" customFormat="1" ht="15.75" customHeight="1">
      <c r="B50" s="160" t="s">
        <v>103</v>
      </c>
      <c r="C50" s="250" t="s">
        <v>104</v>
      </c>
      <c r="D50" s="251"/>
      <c r="E50" s="251"/>
      <c r="F50" s="251"/>
      <c r="G50" s="252"/>
      <c r="H50" s="161">
        <f>15370*20</f>
        <v>307400</v>
      </c>
    </row>
    <row r="51" spans="1:8" s="155" customFormat="1" ht="15.75" customHeight="1">
      <c r="B51" s="160" t="s">
        <v>105</v>
      </c>
      <c r="C51" s="250" t="s">
        <v>109</v>
      </c>
      <c r="D51" s="251"/>
      <c r="E51" s="251"/>
      <c r="F51" s="251"/>
      <c r="G51" s="252"/>
      <c r="H51" s="161">
        <f>(8180-3470)*30</f>
        <v>141300</v>
      </c>
    </row>
    <row r="52" spans="1:8" s="155" customFormat="1" ht="15.75" customHeight="1">
      <c r="B52" s="160" t="s">
        <v>107</v>
      </c>
      <c r="C52" s="250" t="s">
        <v>108</v>
      </c>
      <c r="D52" s="251"/>
      <c r="E52" s="251"/>
      <c r="F52" s="251"/>
      <c r="G52" s="252"/>
      <c r="H52" s="161">
        <f>((H50+H51)*0.1)</f>
        <v>44870</v>
      </c>
    </row>
    <row r="53" spans="1:8" s="155" customFormat="1" ht="15.75" customHeight="1">
      <c r="B53" s="241" t="s">
        <v>114</v>
      </c>
      <c r="C53" s="242"/>
      <c r="D53" s="242"/>
      <c r="E53" s="242"/>
      <c r="F53" s="242"/>
      <c r="G53" s="243"/>
      <c r="H53" s="159">
        <f>SUM(H54:H56)</f>
        <v>1881550</v>
      </c>
    </row>
    <row r="54" spans="1:8" s="155" customFormat="1" ht="15.75" customHeight="1">
      <c r="B54" s="160" t="s">
        <v>103</v>
      </c>
      <c r="C54" s="250" t="s">
        <v>110</v>
      </c>
      <c r="D54" s="251"/>
      <c r="E54" s="251"/>
      <c r="F54" s="251"/>
      <c r="G54" s="252"/>
      <c r="H54" s="161">
        <f>15370*50</f>
        <v>768500</v>
      </c>
    </row>
    <row r="55" spans="1:8" s="155" customFormat="1" ht="15.75" customHeight="1">
      <c r="B55" s="160" t="s">
        <v>105</v>
      </c>
      <c r="C55" s="250" t="s">
        <v>111</v>
      </c>
      <c r="D55" s="251"/>
      <c r="E55" s="251"/>
      <c r="F55" s="251"/>
      <c r="G55" s="252"/>
      <c r="H55" s="161">
        <f>(8180-3470)*200</f>
        <v>942000</v>
      </c>
    </row>
    <row r="56" spans="1:8" s="155" customFormat="1" ht="15.75" customHeight="1">
      <c r="B56" s="160" t="s">
        <v>107</v>
      </c>
      <c r="C56" s="250" t="s">
        <v>108</v>
      </c>
      <c r="D56" s="251"/>
      <c r="E56" s="251"/>
      <c r="F56" s="251"/>
      <c r="G56" s="252"/>
      <c r="H56" s="161">
        <f>((H54+H55)*0.1)</f>
        <v>171050</v>
      </c>
    </row>
    <row r="57" spans="1:8" s="155" customFormat="1" ht="15.75" customHeight="1" thickBot="1">
      <c r="A57" s="152"/>
      <c r="B57" s="257" t="s">
        <v>125</v>
      </c>
      <c r="C57" s="258"/>
      <c r="D57" s="258"/>
      <c r="E57" s="258"/>
      <c r="F57" s="258"/>
      <c r="G57" s="259"/>
      <c r="H57" s="162">
        <f>SUM(H45+H49+H53)</f>
        <v>2806518</v>
      </c>
    </row>
  </sheetData>
  <mergeCells count="47">
    <mergeCell ref="C54:G54"/>
    <mergeCell ref="C55:G55"/>
    <mergeCell ref="B57:G57"/>
    <mergeCell ref="C56:G56"/>
    <mergeCell ref="C50:G50"/>
    <mergeCell ref="C51:G51"/>
    <mergeCell ref="C52:G52"/>
    <mergeCell ref="B53:G53"/>
    <mergeCell ref="B45:G45"/>
    <mergeCell ref="C47:G47"/>
    <mergeCell ref="C39:D39"/>
    <mergeCell ref="E38:F38"/>
    <mergeCell ref="E39:F39"/>
    <mergeCell ref="B40:F40"/>
    <mergeCell ref="B41:G41"/>
    <mergeCell ref="B49:G49"/>
    <mergeCell ref="C16:D16"/>
    <mergeCell ref="F25:G25"/>
    <mergeCell ref="B31:G31"/>
    <mergeCell ref="C25:D25"/>
    <mergeCell ref="C35:D35"/>
    <mergeCell ref="C36:D36"/>
    <mergeCell ref="C37:D37"/>
    <mergeCell ref="F26:G26"/>
    <mergeCell ref="E35:F35"/>
    <mergeCell ref="E37:F37"/>
    <mergeCell ref="E36:F36"/>
    <mergeCell ref="C46:G46"/>
    <mergeCell ref="C48:G48"/>
    <mergeCell ref="C38:D38"/>
    <mergeCell ref="C44:G44"/>
    <mergeCell ref="B14:H14"/>
    <mergeCell ref="B16:B17"/>
    <mergeCell ref="H6:I6"/>
    <mergeCell ref="H7:I7"/>
    <mergeCell ref="H8:I8"/>
    <mergeCell ref="H9:I9"/>
    <mergeCell ref="C6:D6"/>
    <mergeCell ref="C7:D7"/>
    <mergeCell ref="C8:D8"/>
    <mergeCell ref="C9:D9"/>
    <mergeCell ref="E6:F6"/>
    <mergeCell ref="E7:F7"/>
    <mergeCell ref="E8:F8"/>
    <mergeCell ref="E9:F9"/>
    <mergeCell ref="G16:H16"/>
    <mergeCell ref="E16:F16"/>
  </mergeCells>
  <phoneticPr fontId="2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표지</vt:lpstr>
      <vt:lpstr>설계갑지</vt:lpstr>
      <vt:lpstr>총괄표</vt:lpstr>
      <vt:lpstr>연구부분 예산설계서</vt:lpstr>
      <vt:lpstr>연구부분 산출근거 및 단가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2021-09-10T06:51:34Z</cp:lastPrinted>
  <dcterms:created xsi:type="dcterms:W3CDTF">2021-07-18T23:59:06Z</dcterms:created>
  <dcterms:modified xsi:type="dcterms:W3CDTF">2021-11-18T04:41:05Z</dcterms:modified>
</cp:coreProperties>
</file>